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f49587ed31ceddb/Dokumenter/Traditionel/Arrangør dokument/"/>
    </mc:Choice>
  </mc:AlternateContent>
  <xr:revisionPtr revIDLastSave="0" documentId="8_{87240EE2-D1FA-45AD-A4E7-3166800B5DA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Dokument info" sheetId="1" r:id="rId1"/>
    <sheet name="Deltager info" sheetId="2" r:id="rId2"/>
    <sheet name="Startliste" sheetId="3" r:id="rId3"/>
    <sheet name="B tider" sheetId="4" r:id="rId4"/>
    <sheet name="C tider" sheetId="5" r:id="rId5"/>
    <sheet name="Bane personale" sheetId="6" r:id="rId6"/>
    <sheet name="Resultatberegning" sheetId="7" r:id="rId7"/>
    <sheet name="Resultatet" sheetId="8" r:id="rId8"/>
    <sheet name="Versionshistorik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8" l="1"/>
  <c r="C7" i="8"/>
  <c r="Y48" i="7"/>
  <c r="Z48" i="7" s="1"/>
  <c r="I48" i="7"/>
  <c r="AB48" i="7" s="1"/>
  <c r="G48" i="7"/>
  <c r="B48" i="7"/>
  <c r="AD48" i="7" s="1"/>
  <c r="A48" i="7"/>
  <c r="Y47" i="7"/>
  <c r="Z47" i="7" s="1"/>
  <c r="I47" i="7"/>
  <c r="AB47" i="7" s="1"/>
  <c r="G47" i="7"/>
  <c r="B47" i="7"/>
  <c r="AD47" i="7" s="1"/>
  <c r="A47" i="7"/>
  <c r="Y46" i="7"/>
  <c r="Z46" i="7" s="1"/>
  <c r="G46" i="7"/>
  <c r="I46" i="7" s="1"/>
  <c r="AB46" i="7" s="1"/>
  <c r="B46" i="7"/>
  <c r="AD46" i="7" s="1"/>
  <c r="A46" i="7"/>
  <c r="AC45" i="7"/>
  <c r="AB45" i="7"/>
  <c r="K45" i="8" s="1"/>
  <c r="Y45" i="7"/>
  <c r="Z45" i="7" s="1"/>
  <c r="I45" i="7"/>
  <c r="G45" i="7"/>
  <c r="B45" i="7"/>
  <c r="AD45" i="7" s="1"/>
  <c r="A45" i="7"/>
  <c r="AB44" i="7"/>
  <c r="AC44" i="7" s="1"/>
  <c r="Y44" i="7"/>
  <c r="Z44" i="7" s="1"/>
  <c r="I44" i="7"/>
  <c r="G44" i="7"/>
  <c r="B44" i="7"/>
  <c r="AD44" i="7" s="1"/>
  <c r="A44" i="7"/>
  <c r="Y43" i="7"/>
  <c r="Z43" i="7" s="1"/>
  <c r="I43" i="7"/>
  <c r="AB43" i="7" s="1"/>
  <c r="G43" i="7"/>
  <c r="B43" i="7"/>
  <c r="AD43" i="7" s="1"/>
  <c r="A43" i="7"/>
  <c r="Y42" i="7"/>
  <c r="Z42" i="7" s="1"/>
  <c r="G42" i="7"/>
  <c r="I42" i="7" s="1"/>
  <c r="AB42" i="7" s="1"/>
  <c r="K42" i="8" s="1"/>
  <c r="B42" i="7"/>
  <c r="AD42" i="7" s="1"/>
  <c r="A42" i="7"/>
  <c r="AB41" i="7"/>
  <c r="K41" i="8" s="1"/>
  <c r="Y41" i="7"/>
  <c r="Z41" i="7" s="1"/>
  <c r="I41" i="7"/>
  <c r="G41" i="7"/>
  <c r="B41" i="7"/>
  <c r="AD41" i="7" s="1"/>
  <c r="A41" i="7"/>
  <c r="AB40" i="7"/>
  <c r="Y40" i="7"/>
  <c r="Z40" i="7" s="1"/>
  <c r="I40" i="7"/>
  <c r="G40" i="7"/>
  <c r="B40" i="7"/>
  <c r="AD40" i="7" s="1"/>
  <c r="A40" i="7"/>
  <c r="Y39" i="7"/>
  <c r="Z39" i="7" s="1"/>
  <c r="G39" i="7"/>
  <c r="I39" i="7" s="1"/>
  <c r="AB39" i="7" s="1"/>
  <c r="B39" i="7"/>
  <c r="AD39" i="7" s="1"/>
  <c r="A39" i="7"/>
  <c r="Y38" i="7"/>
  <c r="Z38" i="7" s="1"/>
  <c r="G38" i="7"/>
  <c r="I38" i="7" s="1"/>
  <c r="AB38" i="7" s="1"/>
  <c r="K38" i="8" s="1"/>
  <c r="B38" i="7"/>
  <c r="AD38" i="7" s="1"/>
  <c r="A38" i="7"/>
  <c r="AB37" i="7"/>
  <c r="K37" i="8" s="1"/>
  <c r="Y37" i="7"/>
  <c r="Z37" i="7" s="1"/>
  <c r="I37" i="7"/>
  <c r="G37" i="7"/>
  <c r="B37" i="7"/>
  <c r="AD37" i="7" s="1"/>
  <c r="A37" i="7"/>
  <c r="AB36" i="7"/>
  <c r="AC36" i="7" s="1"/>
  <c r="Y36" i="7"/>
  <c r="Z36" i="7" s="1"/>
  <c r="I36" i="7"/>
  <c r="G36" i="7"/>
  <c r="B36" i="7"/>
  <c r="AD36" i="7" s="1"/>
  <c r="A36" i="7"/>
  <c r="Y35" i="7"/>
  <c r="Z35" i="7" s="1"/>
  <c r="I35" i="7"/>
  <c r="AB35" i="7" s="1"/>
  <c r="G35" i="7"/>
  <c r="B35" i="7"/>
  <c r="AD35" i="7" s="1"/>
  <c r="A35" i="7"/>
  <c r="Y34" i="7"/>
  <c r="Z34" i="7" s="1"/>
  <c r="G34" i="7"/>
  <c r="I34" i="7" s="1"/>
  <c r="AB34" i="7" s="1"/>
  <c r="K34" i="8" s="1"/>
  <c r="B34" i="7"/>
  <c r="AD34" i="7" s="1"/>
  <c r="A34" i="7"/>
  <c r="AB33" i="7"/>
  <c r="Y33" i="7"/>
  <c r="Z33" i="7" s="1"/>
  <c r="I33" i="7"/>
  <c r="G33" i="7"/>
  <c r="B33" i="7"/>
  <c r="AD33" i="7" s="1"/>
  <c r="A33" i="7"/>
  <c r="I32" i="7"/>
  <c r="AB32" i="7" s="1"/>
  <c r="G32" i="7"/>
  <c r="B32" i="7"/>
  <c r="AD32" i="7" s="1"/>
  <c r="A32" i="7"/>
  <c r="I31" i="7"/>
  <c r="G31" i="7"/>
  <c r="B31" i="7"/>
  <c r="AD31" i="7" s="1"/>
  <c r="A31" i="7"/>
  <c r="G30" i="7"/>
  <c r="I30" i="7" s="1"/>
  <c r="B30" i="7"/>
  <c r="AD30" i="7" s="1"/>
  <c r="A30" i="7"/>
  <c r="I29" i="7"/>
  <c r="G29" i="7"/>
  <c r="B29" i="7"/>
  <c r="AD29" i="7" s="1"/>
  <c r="A29" i="7"/>
  <c r="AD28" i="7"/>
  <c r="AB28" i="7"/>
  <c r="AC28" i="7" s="1"/>
  <c r="Z28" i="7"/>
  <c r="T28" i="7"/>
  <c r="G28" i="7"/>
  <c r="I28" i="7" s="1"/>
  <c r="A28" i="7"/>
  <c r="Y27" i="7"/>
  <c r="Z27" i="7" s="1"/>
  <c r="I27" i="7"/>
  <c r="AB27" i="7" s="1"/>
  <c r="G27" i="7"/>
  <c r="B27" i="7"/>
  <c r="AD27" i="7" s="1"/>
  <c r="A27" i="7"/>
  <c r="Y26" i="7"/>
  <c r="Z26" i="7" s="1"/>
  <c r="I26" i="7"/>
  <c r="AB26" i="7" s="1"/>
  <c r="G26" i="7"/>
  <c r="B26" i="7"/>
  <c r="AD26" i="7" s="1"/>
  <c r="A26" i="7"/>
  <c r="Y25" i="7"/>
  <c r="Z25" i="7" s="1"/>
  <c r="G25" i="7"/>
  <c r="I25" i="7" s="1"/>
  <c r="AB25" i="7" s="1"/>
  <c r="B25" i="7"/>
  <c r="AD25" i="7" s="1"/>
  <c r="A25" i="7"/>
  <c r="AB24" i="7"/>
  <c r="K24" i="8" s="1"/>
  <c r="Y24" i="7"/>
  <c r="Z24" i="7" s="1"/>
  <c r="I24" i="7"/>
  <c r="G24" i="7"/>
  <c r="B24" i="7"/>
  <c r="AD24" i="7" s="1"/>
  <c r="A24" i="7"/>
  <c r="AB23" i="7"/>
  <c r="Y23" i="7"/>
  <c r="Z23" i="7" s="1"/>
  <c r="I23" i="7"/>
  <c r="G23" i="7"/>
  <c r="B23" i="7"/>
  <c r="AD23" i="7" s="1"/>
  <c r="A23" i="7"/>
  <c r="Y22" i="7"/>
  <c r="Z22" i="7" s="1"/>
  <c r="I22" i="7"/>
  <c r="AB22" i="7" s="1"/>
  <c r="AC22" i="7" s="1"/>
  <c r="G22" i="7"/>
  <c r="B22" i="7"/>
  <c r="AD22" i="7" s="1"/>
  <c r="A22" i="7"/>
  <c r="Y21" i="7"/>
  <c r="Z21" i="7" s="1"/>
  <c r="G21" i="7"/>
  <c r="I21" i="7" s="1"/>
  <c r="AB21" i="7" s="1"/>
  <c r="K21" i="8" s="1"/>
  <c r="B21" i="7"/>
  <c r="AD21" i="7" s="1"/>
  <c r="A21" i="7"/>
  <c r="AB20" i="7"/>
  <c r="K20" i="8" s="1"/>
  <c r="Y20" i="7"/>
  <c r="Z20" i="7" s="1"/>
  <c r="I20" i="7"/>
  <c r="G20" i="7"/>
  <c r="B20" i="7"/>
  <c r="AD20" i="7" s="1"/>
  <c r="A20" i="7"/>
  <c r="AB19" i="7"/>
  <c r="Y19" i="7"/>
  <c r="Z19" i="7" s="1"/>
  <c r="I19" i="7"/>
  <c r="G19" i="7"/>
  <c r="B19" i="7"/>
  <c r="AD19" i="7" s="1"/>
  <c r="A19" i="7"/>
  <c r="Y18" i="7"/>
  <c r="Z18" i="7" s="1"/>
  <c r="G18" i="7"/>
  <c r="I18" i="7" s="1"/>
  <c r="AB18" i="7" s="1"/>
  <c r="B18" i="7"/>
  <c r="AD18" i="7" s="1"/>
  <c r="A18" i="7"/>
  <c r="Y17" i="7"/>
  <c r="Z17" i="7" s="1"/>
  <c r="G17" i="7"/>
  <c r="I17" i="7" s="1"/>
  <c r="AB17" i="7" s="1"/>
  <c r="K17" i="8" s="1"/>
  <c r="B17" i="7"/>
  <c r="AD17" i="7" s="1"/>
  <c r="A17" i="7"/>
  <c r="AB16" i="7"/>
  <c r="AC16" i="7" s="1"/>
  <c r="Y16" i="7"/>
  <c r="Z16" i="7" s="1"/>
  <c r="I16" i="7"/>
  <c r="G16" i="7"/>
  <c r="B16" i="7"/>
  <c r="AD16" i="7" s="1"/>
  <c r="A16" i="7"/>
  <c r="Y15" i="7"/>
  <c r="Z15" i="7" s="1"/>
  <c r="G15" i="7"/>
  <c r="I15" i="7" s="1"/>
  <c r="AB15" i="7" s="1"/>
  <c r="B15" i="7"/>
  <c r="AD15" i="7" s="1"/>
  <c r="A15" i="7"/>
  <c r="Y14" i="7"/>
  <c r="Z14" i="7" s="1"/>
  <c r="G14" i="7"/>
  <c r="I14" i="7" s="1"/>
  <c r="AB14" i="7" s="1"/>
  <c r="B14" i="7"/>
  <c r="AD14" i="7" s="1"/>
  <c r="A14" i="7"/>
  <c r="Y13" i="7"/>
  <c r="Z13" i="7" s="1"/>
  <c r="G13" i="7"/>
  <c r="I13" i="7" s="1"/>
  <c r="AB13" i="7" s="1"/>
  <c r="B13" i="7"/>
  <c r="AD13" i="7" s="1"/>
  <c r="A13" i="7"/>
  <c r="Y12" i="7"/>
  <c r="Z12" i="7" s="1"/>
  <c r="I12" i="7"/>
  <c r="AB12" i="7" s="1"/>
  <c r="G12" i="7"/>
  <c r="B12" i="7"/>
  <c r="AD12" i="7" s="1"/>
  <c r="A12" i="7"/>
  <c r="G11" i="7"/>
  <c r="I11" i="7" s="1"/>
  <c r="B11" i="7"/>
  <c r="AD11" i="7" s="1"/>
  <c r="A11" i="7"/>
  <c r="G10" i="7"/>
  <c r="I10" i="7" s="1"/>
  <c r="B10" i="7"/>
  <c r="AD10" i="7" s="1"/>
  <c r="A10" i="7"/>
  <c r="G9" i="7"/>
  <c r="I9" i="7" s="1"/>
  <c r="B9" i="7"/>
  <c r="AD9" i="7" s="1"/>
  <c r="A9" i="7"/>
  <c r="G8" i="7"/>
  <c r="I8" i="7" s="1"/>
  <c r="B8" i="7"/>
  <c r="AD8" i="7" s="1"/>
  <c r="A8" i="7"/>
  <c r="A7" i="7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F12" i="5"/>
  <c r="E12" i="5"/>
  <c r="D12" i="5"/>
  <c r="C12" i="5"/>
  <c r="K13" i="4"/>
  <c r="G13" i="4"/>
  <c r="E13" i="4"/>
  <c r="D13" i="4"/>
  <c r="C13" i="4"/>
  <c r="K12" i="4"/>
  <c r="J12" i="4"/>
  <c r="J13" i="4" s="1"/>
  <c r="I12" i="4"/>
  <c r="I13" i="4" s="1"/>
  <c r="H12" i="4"/>
  <c r="G12" i="4"/>
  <c r="F12" i="4"/>
  <c r="F13" i="4" s="1"/>
  <c r="E12" i="4"/>
  <c r="D12" i="4"/>
  <c r="D11" i="4" s="1"/>
  <c r="C12" i="4"/>
  <c r="K11" i="4"/>
  <c r="J11" i="4"/>
  <c r="I11" i="4"/>
  <c r="G11" i="4"/>
  <c r="F11" i="4"/>
  <c r="E11" i="4"/>
  <c r="C11" i="4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U46" i="2"/>
  <c r="N46" i="2"/>
  <c r="J46" i="2"/>
  <c r="S48" i="7" s="1"/>
  <c r="T48" i="7" s="1"/>
  <c r="U45" i="2"/>
  <c r="N45" i="2"/>
  <c r="J45" i="2"/>
  <c r="S47" i="7" s="1"/>
  <c r="T47" i="7" s="1"/>
  <c r="U44" i="2"/>
  <c r="N44" i="2"/>
  <c r="J44" i="2"/>
  <c r="S46" i="7" s="1"/>
  <c r="T46" i="7" s="1"/>
  <c r="U43" i="2"/>
  <c r="N43" i="2"/>
  <c r="J43" i="2"/>
  <c r="S45" i="7" s="1"/>
  <c r="T45" i="7" s="1"/>
  <c r="U42" i="2"/>
  <c r="N42" i="2"/>
  <c r="J42" i="2"/>
  <c r="S44" i="7" s="1"/>
  <c r="T44" i="7" s="1"/>
  <c r="U41" i="2"/>
  <c r="N41" i="2"/>
  <c r="J41" i="2"/>
  <c r="S43" i="7" s="1"/>
  <c r="T43" i="7" s="1"/>
  <c r="U40" i="2"/>
  <c r="N40" i="2"/>
  <c r="J40" i="2"/>
  <c r="S42" i="7" s="1"/>
  <c r="T42" i="7" s="1"/>
  <c r="U39" i="2"/>
  <c r="N39" i="2"/>
  <c r="J39" i="2"/>
  <c r="S41" i="7" s="1"/>
  <c r="T41" i="7" s="1"/>
  <c r="U38" i="2"/>
  <c r="N38" i="2"/>
  <c r="J38" i="2"/>
  <c r="S40" i="7" s="1"/>
  <c r="T40" i="7" s="1"/>
  <c r="U37" i="2"/>
  <c r="N37" i="2"/>
  <c r="J37" i="2"/>
  <c r="S39" i="7" s="1"/>
  <c r="T39" i="7" s="1"/>
  <c r="U36" i="2"/>
  <c r="N36" i="2"/>
  <c r="J36" i="2"/>
  <c r="S38" i="7" s="1"/>
  <c r="T38" i="7" s="1"/>
  <c r="U35" i="2"/>
  <c r="N35" i="2"/>
  <c r="J35" i="2"/>
  <c r="S37" i="7" s="1"/>
  <c r="T37" i="7" s="1"/>
  <c r="U34" i="2"/>
  <c r="N34" i="2"/>
  <c r="J34" i="2"/>
  <c r="S36" i="7" s="1"/>
  <c r="T36" i="7" s="1"/>
  <c r="U33" i="2"/>
  <c r="N33" i="2"/>
  <c r="J33" i="2"/>
  <c r="S35" i="7" s="1"/>
  <c r="T35" i="7" s="1"/>
  <c r="U32" i="2"/>
  <c r="N32" i="2"/>
  <c r="J32" i="2"/>
  <c r="S34" i="7" s="1"/>
  <c r="T34" i="7" s="1"/>
  <c r="U31" i="2"/>
  <c r="N31" i="2"/>
  <c r="J31" i="2"/>
  <c r="S33" i="7" s="1"/>
  <c r="T33" i="7" s="1"/>
  <c r="U30" i="2"/>
  <c r="N30" i="2"/>
  <c r="Y32" i="7" s="1"/>
  <c r="Z32" i="7" s="1"/>
  <c r="J30" i="2"/>
  <c r="S32" i="7" s="1"/>
  <c r="T32" i="7" s="1"/>
  <c r="U29" i="2"/>
  <c r="N29" i="2"/>
  <c r="Y31" i="7" s="1"/>
  <c r="Z31" i="7" s="1"/>
  <c r="J29" i="2"/>
  <c r="S31" i="7" s="1"/>
  <c r="T31" i="7" s="1"/>
  <c r="U28" i="2"/>
  <c r="N28" i="2"/>
  <c r="Y30" i="7" s="1"/>
  <c r="Z30" i="7" s="1"/>
  <c r="J28" i="2"/>
  <c r="S30" i="7" s="1"/>
  <c r="T30" i="7" s="1"/>
  <c r="U27" i="2"/>
  <c r="N27" i="2"/>
  <c r="Y29" i="7" s="1"/>
  <c r="Z29" i="7" s="1"/>
  <c r="J27" i="2"/>
  <c r="S29" i="7" s="1"/>
  <c r="T29" i="7" s="1"/>
  <c r="AB29" i="7" s="1"/>
  <c r="U25" i="2"/>
  <c r="N25" i="2"/>
  <c r="J25" i="2"/>
  <c r="S27" i="7" s="1"/>
  <c r="T27" i="7" s="1"/>
  <c r="U24" i="2"/>
  <c r="N24" i="2"/>
  <c r="J24" i="2"/>
  <c r="S26" i="7" s="1"/>
  <c r="T26" i="7" s="1"/>
  <c r="U23" i="2"/>
  <c r="N23" i="2"/>
  <c r="J23" i="2"/>
  <c r="S25" i="7" s="1"/>
  <c r="T25" i="7" s="1"/>
  <c r="U22" i="2"/>
  <c r="N22" i="2"/>
  <c r="J22" i="2"/>
  <c r="S24" i="7" s="1"/>
  <c r="T24" i="7" s="1"/>
  <c r="U21" i="2"/>
  <c r="N21" i="2"/>
  <c r="J21" i="2"/>
  <c r="S23" i="7" s="1"/>
  <c r="T23" i="7" s="1"/>
  <c r="U20" i="2"/>
  <c r="N20" i="2"/>
  <c r="J20" i="2"/>
  <c r="S22" i="7" s="1"/>
  <c r="T22" i="7" s="1"/>
  <c r="U19" i="2"/>
  <c r="N19" i="2"/>
  <c r="J19" i="2"/>
  <c r="S21" i="7" s="1"/>
  <c r="T21" i="7" s="1"/>
  <c r="U18" i="2"/>
  <c r="N18" i="2"/>
  <c r="J18" i="2"/>
  <c r="S20" i="7" s="1"/>
  <c r="T20" i="7" s="1"/>
  <c r="U17" i="2"/>
  <c r="N17" i="2"/>
  <c r="J17" i="2"/>
  <c r="S19" i="7" s="1"/>
  <c r="T19" i="7" s="1"/>
  <c r="U16" i="2"/>
  <c r="N16" i="2"/>
  <c r="J16" i="2"/>
  <c r="S18" i="7" s="1"/>
  <c r="T18" i="7" s="1"/>
  <c r="U15" i="2"/>
  <c r="N15" i="2"/>
  <c r="J15" i="2"/>
  <c r="S17" i="7" s="1"/>
  <c r="T17" i="7" s="1"/>
  <c r="U14" i="2"/>
  <c r="N14" i="2"/>
  <c r="J14" i="2"/>
  <c r="S16" i="7" s="1"/>
  <c r="T16" i="7" s="1"/>
  <c r="U13" i="2"/>
  <c r="N13" i="2"/>
  <c r="J13" i="2"/>
  <c r="S15" i="7" s="1"/>
  <c r="T15" i="7" s="1"/>
  <c r="U12" i="2"/>
  <c r="N12" i="2"/>
  <c r="J12" i="2"/>
  <c r="S14" i="7" s="1"/>
  <c r="T14" i="7" s="1"/>
  <c r="U11" i="2"/>
  <c r="N11" i="2"/>
  <c r="J11" i="2"/>
  <c r="S13" i="7" s="1"/>
  <c r="T13" i="7" s="1"/>
  <c r="U10" i="2"/>
  <c r="N10" i="2"/>
  <c r="J10" i="2"/>
  <c r="S12" i="7" s="1"/>
  <c r="T12" i="7" s="1"/>
  <c r="U9" i="2"/>
  <c r="N9" i="2"/>
  <c r="Y11" i="7" s="1"/>
  <c r="Z11" i="7" s="1"/>
  <c r="J9" i="2"/>
  <c r="S11" i="7" s="1"/>
  <c r="T11" i="7" s="1"/>
  <c r="U8" i="2"/>
  <c r="N8" i="2"/>
  <c r="Y10" i="7" s="1"/>
  <c r="Z10" i="7" s="1"/>
  <c r="J8" i="2"/>
  <c r="S10" i="7" s="1"/>
  <c r="T10" i="7" s="1"/>
  <c r="U7" i="2"/>
  <c r="N7" i="2"/>
  <c r="Y9" i="7" s="1"/>
  <c r="Z9" i="7" s="1"/>
  <c r="J7" i="2"/>
  <c r="S9" i="7" s="1"/>
  <c r="T9" i="7" s="1"/>
  <c r="U6" i="2"/>
  <c r="N6" i="2"/>
  <c r="Y8" i="7" s="1"/>
  <c r="Z8" i="7" s="1"/>
  <c r="J6" i="2"/>
  <c r="S8" i="7" s="1"/>
  <c r="T8" i="7" s="1"/>
  <c r="AB8" i="7" l="1"/>
  <c r="K8" i="8" s="1"/>
  <c r="AC21" i="7"/>
  <c r="AC34" i="7"/>
  <c r="AC42" i="7"/>
  <c r="AC41" i="7"/>
  <c r="AC24" i="7"/>
  <c r="AC38" i="7"/>
  <c r="N29" i="3"/>
  <c r="B29" i="3" s="1"/>
  <c r="H39" i="6"/>
  <c r="B39" i="6" s="1"/>
  <c r="AC20" i="7"/>
  <c r="K36" i="8"/>
  <c r="H31" i="6"/>
  <c r="A31" i="6" s="1"/>
  <c r="AC17" i="7"/>
  <c r="K44" i="8"/>
  <c r="J29" i="3"/>
  <c r="F29" i="3"/>
  <c r="K29" i="8"/>
  <c r="AC29" i="7"/>
  <c r="N27" i="3"/>
  <c r="N24" i="3"/>
  <c r="N37" i="3"/>
  <c r="N33" i="3"/>
  <c r="N31" i="3"/>
  <c r="N35" i="3"/>
  <c r="H13" i="4"/>
  <c r="H11" i="4"/>
  <c r="B31" i="6"/>
  <c r="AC32" i="7"/>
  <c r="K32" i="8"/>
  <c r="K33" i="8"/>
  <c r="AC33" i="7"/>
  <c r="N39" i="3"/>
  <c r="H17" i="6"/>
  <c r="H40" i="6"/>
  <c r="K19" i="8"/>
  <c r="AC19" i="7"/>
  <c r="AC48" i="7"/>
  <c r="K48" i="8"/>
  <c r="K16" i="8"/>
  <c r="N7" i="3"/>
  <c r="N9" i="3"/>
  <c r="N11" i="3"/>
  <c r="N13" i="3"/>
  <c r="N15" i="3"/>
  <c r="N17" i="3"/>
  <c r="N19" i="3"/>
  <c r="N21" i="3"/>
  <c r="N23" i="3"/>
  <c r="N25" i="3"/>
  <c r="N45" i="3"/>
  <c r="N46" i="3"/>
  <c r="H8" i="6"/>
  <c r="H24" i="6"/>
  <c r="AB9" i="7"/>
  <c r="K13" i="8"/>
  <c r="AC13" i="7"/>
  <c r="K47" i="8"/>
  <c r="AC47" i="7"/>
  <c r="N40" i="3"/>
  <c r="N41" i="3"/>
  <c r="N43" i="3"/>
  <c r="N44" i="3"/>
  <c r="K15" i="8"/>
  <c r="AC15" i="7"/>
  <c r="AC26" i="7"/>
  <c r="K26" i="8"/>
  <c r="AC46" i="7"/>
  <c r="K46" i="8"/>
  <c r="K27" i="8"/>
  <c r="AC27" i="7"/>
  <c r="N42" i="3"/>
  <c r="H9" i="6"/>
  <c r="H25" i="6"/>
  <c r="H32" i="6"/>
  <c r="K12" i="8"/>
  <c r="AC12" i="7"/>
  <c r="K25" i="8"/>
  <c r="AC25" i="7"/>
  <c r="K39" i="8"/>
  <c r="AC39" i="7"/>
  <c r="N26" i="3"/>
  <c r="N28" i="3"/>
  <c r="N30" i="3"/>
  <c r="N32" i="3"/>
  <c r="N34" i="3"/>
  <c r="N36" i="3"/>
  <c r="N38" i="3"/>
  <c r="N6" i="3"/>
  <c r="N8" i="3"/>
  <c r="N10" i="3"/>
  <c r="N12" i="3"/>
  <c r="N14" i="3"/>
  <c r="N16" i="3"/>
  <c r="N18" i="3"/>
  <c r="N20" i="3"/>
  <c r="N22" i="3"/>
  <c r="H43" i="6"/>
  <c r="H16" i="6"/>
  <c r="AB11" i="7"/>
  <c r="AC14" i="7"/>
  <c r="K14" i="8"/>
  <c r="AC18" i="7"/>
  <c r="K18" i="8"/>
  <c r="AC40" i="7"/>
  <c r="K40" i="8"/>
  <c r="H11" i="6"/>
  <c r="H19" i="6"/>
  <c r="H26" i="6"/>
  <c r="H34" i="6"/>
  <c r="H42" i="6"/>
  <c r="H10" i="6"/>
  <c r="H18" i="6"/>
  <c r="H33" i="6"/>
  <c r="H41" i="6"/>
  <c r="AC43" i="7"/>
  <c r="K43" i="8"/>
  <c r="K22" i="8"/>
  <c r="H7" i="6"/>
  <c r="H15" i="6"/>
  <c r="H23" i="6"/>
  <c r="H30" i="6"/>
  <c r="H38" i="6"/>
  <c r="H46" i="6"/>
  <c r="K23" i="8"/>
  <c r="AC23" i="7"/>
  <c r="H6" i="6"/>
  <c r="H14" i="6"/>
  <c r="H22" i="6"/>
  <c r="H29" i="6"/>
  <c r="H37" i="6"/>
  <c r="H45" i="6"/>
  <c r="AC37" i="7"/>
  <c r="H13" i="6"/>
  <c r="H21" i="6"/>
  <c r="H28" i="6"/>
  <c r="H36" i="6"/>
  <c r="H44" i="6"/>
  <c r="H12" i="6"/>
  <c r="H20" i="6"/>
  <c r="H27" i="6"/>
  <c r="H35" i="6"/>
  <c r="AB10" i="7"/>
  <c r="AB30" i="7"/>
  <c r="AB31" i="7"/>
  <c r="AC35" i="7"/>
  <c r="K35" i="8"/>
  <c r="F39" i="6" l="1"/>
  <c r="C39" i="6" s="1"/>
  <c r="C29" i="3"/>
  <c r="D39" i="6"/>
  <c r="K29" i="3"/>
  <c r="D31" i="6"/>
  <c r="A39" i="6"/>
  <c r="H29" i="3"/>
  <c r="G29" i="3"/>
  <c r="F31" i="6"/>
  <c r="C31" i="6" s="1"/>
  <c r="I29" i="3"/>
  <c r="E29" i="3"/>
  <c r="A29" i="3"/>
  <c r="F21" i="6"/>
  <c r="C21" i="6" s="1"/>
  <c r="B21" i="6"/>
  <c r="A21" i="6"/>
  <c r="D21" i="6"/>
  <c r="E18" i="3"/>
  <c r="C18" i="3"/>
  <c r="K18" i="3"/>
  <c r="B18" i="3"/>
  <c r="J18" i="3"/>
  <c r="A18" i="3"/>
  <c r="I18" i="3"/>
  <c r="G18" i="3"/>
  <c r="F18" i="3"/>
  <c r="H18" i="3"/>
  <c r="I19" i="3"/>
  <c r="H19" i="3"/>
  <c r="G19" i="3"/>
  <c r="F19" i="3"/>
  <c r="E19" i="3"/>
  <c r="K19" i="3"/>
  <c r="B19" i="3"/>
  <c r="J19" i="3"/>
  <c r="C19" i="3"/>
  <c r="A19" i="3"/>
  <c r="E16" i="3"/>
  <c r="C16" i="3"/>
  <c r="K16" i="3"/>
  <c r="B16" i="3"/>
  <c r="J16" i="3"/>
  <c r="A16" i="3"/>
  <c r="I16" i="3"/>
  <c r="G16" i="3"/>
  <c r="F16" i="3"/>
  <c r="H16" i="3"/>
  <c r="I17" i="3"/>
  <c r="H17" i="3"/>
  <c r="G17" i="3"/>
  <c r="F17" i="3"/>
  <c r="E17" i="3"/>
  <c r="K17" i="3"/>
  <c r="B17" i="3"/>
  <c r="J17" i="3"/>
  <c r="C17" i="3"/>
  <c r="A17" i="3"/>
  <c r="F26" i="6"/>
  <c r="C26" i="6" s="1"/>
  <c r="D26" i="6"/>
  <c r="B26" i="6"/>
  <c r="A26" i="6"/>
  <c r="B8" i="6"/>
  <c r="A8" i="6"/>
  <c r="F8" i="6"/>
  <c r="C8" i="6" s="1"/>
  <c r="D8" i="6"/>
  <c r="F20" i="6"/>
  <c r="C20" i="6" s="1"/>
  <c r="D20" i="6"/>
  <c r="A20" i="6"/>
  <c r="B20" i="6"/>
  <c r="A45" i="6"/>
  <c r="B45" i="6"/>
  <c r="F45" i="6"/>
  <c r="C45" i="6" s="1"/>
  <c r="D45" i="6"/>
  <c r="B46" i="6"/>
  <c r="A46" i="6"/>
  <c r="D46" i="6"/>
  <c r="F46" i="6"/>
  <c r="C46" i="6" s="1"/>
  <c r="F19" i="6"/>
  <c r="C19" i="6" s="1"/>
  <c r="D19" i="6"/>
  <c r="B19" i="6"/>
  <c r="A19" i="6"/>
  <c r="K11" i="8"/>
  <c r="AC11" i="7"/>
  <c r="E12" i="3"/>
  <c r="C12" i="3"/>
  <c r="K12" i="3"/>
  <c r="B12" i="3"/>
  <c r="J12" i="3"/>
  <c r="A12" i="3"/>
  <c r="I12" i="3"/>
  <c r="G12" i="3"/>
  <c r="H12" i="3"/>
  <c r="F12" i="3"/>
  <c r="F30" i="3"/>
  <c r="E30" i="3"/>
  <c r="C30" i="3"/>
  <c r="I30" i="3"/>
  <c r="K30" i="3"/>
  <c r="B30" i="3"/>
  <c r="J30" i="3"/>
  <c r="A30" i="3"/>
  <c r="H30" i="3"/>
  <c r="G30" i="3"/>
  <c r="G40" i="3"/>
  <c r="H40" i="3"/>
  <c r="A40" i="3"/>
  <c r="F40" i="3"/>
  <c r="E40" i="3"/>
  <c r="K40" i="3"/>
  <c r="C40" i="3"/>
  <c r="B40" i="3"/>
  <c r="J40" i="3"/>
  <c r="I40" i="3"/>
  <c r="K46" i="3"/>
  <c r="B46" i="3"/>
  <c r="G46" i="3"/>
  <c r="F46" i="3"/>
  <c r="H46" i="3"/>
  <c r="E46" i="3"/>
  <c r="C46" i="3"/>
  <c r="A46" i="3"/>
  <c r="J46" i="3"/>
  <c r="I46" i="3"/>
  <c r="I13" i="3"/>
  <c r="H13" i="3"/>
  <c r="G13" i="3"/>
  <c r="F13" i="3"/>
  <c r="E13" i="3"/>
  <c r="K13" i="3"/>
  <c r="B13" i="3"/>
  <c r="A13" i="3"/>
  <c r="C13" i="3"/>
  <c r="J13" i="3"/>
  <c r="K10" i="8"/>
  <c r="AC10" i="7"/>
  <c r="F36" i="3"/>
  <c r="E36" i="3"/>
  <c r="C36" i="3"/>
  <c r="K36" i="3"/>
  <c r="B36" i="3"/>
  <c r="I36" i="3"/>
  <c r="J36" i="3"/>
  <c r="A36" i="3"/>
  <c r="H36" i="3"/>
  <c r="G36" i="3"/>
  <c r="K9" i="8"/>
  <c r="AC9" i="7"/>
  <c r="F35" i="6"/>
  <c r="C35" i="6" s="1"/>
  <c r="D35" i="6"/>
  <c r="A35" i="6"/>
  <c r="B35" i="6"/>
  <c r="B24" i="6"/>
  <c r="A24" i="6"/>
  <c r="F24" i="6"/>
  <c r="C24" i="6" s="1"/>
  <c r="D24" i="6"/>
  <c r="F32" i="3"/>
  <c r="I32" i="3"/>
  <c r="E32" i="3"/>
  <c r="C32" i="3"/>
  <c r="K32" i="3"/>
  <c r="B32" i="3"/>
  <c r="J32" i="3"/>
  <c r="A32" i="3"/>
  <c r="H32" i="3"/>
  <c r="G32" i="3"/>
  <c r="F12" i="6"/>
  <c r="C12" i="6" s="1"/>
  <c r="D12" i="6"/>
  <c r="A12" i="6"/>
  <c r="B12" i="6"/>
  <c r="A37" i="6"/>
  <c r="B37" i="6"/>
  <c r="F37" i="6"/>
  <c r="C37" i="6" s="1"/>
  <c r="D37" i="6"/>
  <c r="B38" i="6"/>
  <c r="A38" i="6"/>
  <c r="D38" i="6"/>
  <c r="F38" i="6"/>
  <c r="C38" i="6" s="1"/>
  <c r="F41" i="6"/>
  <c r="C41" i="6" s="1"/>
  <c r="D41" i="6"/>
  <c r="B41" i="6"/>
  <c r="A41" i="6"/>
  <c r="F11" i="6"/>
  <c r="C11" i="6" s="1"/>
  <c r="D11" i="6"/>
  <c r="B11" i="6"/>
  <c r="A11" i="6"/>
  <c r="B16" i="6"/>
  <c r="A16" i="6"/>
  <c r="F16" i="6"/>
  <c r="C16" i="6" s="1"/>
  <c r="D16" i="6"/>
  <c r="E10" i="3"/>
  <c r="C10" i="3"/>
  <c r="K10" i="3"/>
  <c r="B10" i="3"/>
  <c r="J10" i="3"/>
  <c r="A10" i="3"/>
  <c r="I10" i="3"/>
  <c r="G10" i="3"/>
  <c r="H10" i="3"/>
  <c r="F10" i="3"/>
  <c r="F28" i="3"/>
  <c r="E28" i="3"/>
  <c r="C28" i="3"/>
  <c r="K28" i="3"/>
  <c r="B28" i="3"/>
  <c r="J28" i="3"/>
  <c r="A28" i="3"/>
  <c r="H28" i="3"/>
  <c r="I28" i="3"/>
  <c r="G28" i="3"/>
  <c r="D32" i="6"/>
  <c r="B32" i="6"/>
  <c r="A32" i="6"/>
  <c r="F32" i="6"/>
  <c r="C32" i="6" s="1"/>
  <c r="G45" i="3"/>
  <c r="K45" i="3"/>
  <c r="B45" i="3"/>
  <c r="J45" i="3"/>
  <c r="A45" i="3"/>
  <c r="F45" i="3"/>
  <c r="E45" i="3"/>
  <c r="C45" i="3"/>
  <c r="I45" i="3"/>
  <c r="H45" i="3"/>
  <c r="I11" i="3"/>
  <c r="H11" i="3"/>
  <c r="G11" i="3"/>
  <c r="F11" i="3"/>
  <c r="E11" i="3"/>
  <c r="K11" i="3"/>
  <c r="B11" i="3"/>
  <c r="J11" i="3"/>
  <c r="C11" i="3"/>
  <c r="A11" i="3"/>
  <c r="D40" i="6"/>
  <c r="B40" i="6"/>
  <c r="A40" i="6"/>
  <c r="F40" i="6"/>
  <c r="C40" i="6" s="1"/>
  <c r="A6" i="6"/>
  <c r="B6" i="6"/>
  <c r="F6" i="6"/>
  <c r="C6" i="6" s="1"/>
  <c r="D6" i="6"/>
  <c r="F13" i="6"/>
  <c r="C13" i="6" s="1"/>
  <c r="B13" i="6"/>
  <c r="A13" i="6"/>
  <c r="D13" i="6"/>
  <c r="F34" i="3"/>
  <c r="E34" i="3"/>
  <c r="C34" i="3"/>
  <c r="K34" i="3"/>
  <c r="B34" i="3"/>
  <c r="I34" i="3"/>
  <c r="J34" i="3"/>
  <c r="A34" i="3"/>
  <c r="H34" i="3"/>
  <c r="G34" i="3"/>
  <c r="F27" i="6"/>
  <c r="C27" i="6" s="1"/>
  <c r="D27" i="6"/>
  <c r="A27" i="6"/>
  <c r="B27" i="6"/>
  <c r="E14" i="3"/>
  <c r="C14" i="3"/>
  <c r="K14" i="3"/>
  <c r="B14" i="3"/>
  <c r="J14" i="3"/>
  <c r="A14" i="3"/>
  <c r="I14" i="3"/>
  <c r="G14" i="3"/>
  <c r="H14" i="3"/>
  <c r="F14" i="3"/>
  <c r="K41" i="3"/>
  <c r="B41" i="3"/>
  <c r="J41" i="3"/>
  <c r="A41" i="3"/>
  <c r="F41" i="3"/>
  <c r="I41" i="3"/>
  <c r="E41" i="3"/>
  <c r="C41" i="3"/>
  <c r="H41" i="3"/>
  <c r="G41" i="3"/>
  <c r="F44" i="6"/>
  <c r="C44" i="6" s="1"/>
  <c r="B44" i="6"/>
  <c r="A44" i="6"/>
  <c r="D44" i="6"/>
  <c r="A29" i="6"/>
  <c r="B29" i="6"/>
  <c r="F29" i="6"/>
  <c r="C29" i="6" s="1"/>
  <c r="D29" i="6"/>
  <c r="B30" i="6"/>
  <c r="A30" i="6"/>
  <c r="D30" i="6"/>
  <c r="F30" i="6"/>
  <c r="C30" i="6" s="1"/>
  <c r="F33" i="6"/>
  <c r="C33" i="6" s="1"/>
  <c r="D33" i="6"/>
  <c r="B33" i="6"/>
  <c r="A33" i="6"/>
  <c r="F43" i="6"/>
  <c r="C43" i="6" s="1"/>
  <c r="D43" i="6"/>
  <c r="A43" i="6"/>
  <c r="B43" i="6"/>
  <c r="E8" i="3"/>
  <c r="C8" i="3"/>
  <c r="K8" i="3"/>
  <c r="B8" i="3"/>
  <c r="J8" i="3"/>
  <c r="A8" i="3"/>
  <c r="I8" i="3"/>
  <c r="G8" i="3"/>
  <c r="H8" i="3"/>
  <c r="F8" i="3"/>
  <c r="E26" i="3"/>
  <c r="C26" i="3"/>
  <c r="K26" i="3"/>
  <c r="B26" i="3"/>
  <c r="J26" i="3"/>
  <c r="A26" i="3"/>
  <c r="I26" i="3"/>
  <c r="G26" i="3"/>
  <c r="H26" i="3"/>
  <c r="F26" i="3"/>
  <c r="D25" i="6"/>
  <c r="B25" i="6"/>
  <c r="A25" i="6"/>
  <c r="F25" i="6"/>
  <c r="C25" i="6" s="1"/>
  <c r="I25" i="3"/>
  <c r="H25" i="3"/>
  <c r="G25" i="3"/>
  <c r="F25" i="3"/>
  <c r="E25" i="3"/>
  <c r="K25" i="3"/>
  <c r="B25" i="3"/>
  <c r="A25" i="3"/>
  <c r="C25" i="3"/>
  <c r="J25" i="3"/>
  <c r="I9" i="3"/>
  <c r="H9" i="3"/>
  <c r="G9" i="3"/>
  <c r="F9" i="3"/>
  <c r="E9" i="3"/>
  <c r="K9" i="3"/>
  <c r="B9" i="3"/>
  <c r="C9" i="3"/>
  <c r="A9" i="3"/>
  <c r="J9" i="3"/>
  <c r="D17" i="6"/>
  <c r="B17" i="6"/>
  <c r="A17" i="6"/>
  <c r="F17" i="6"/>
  <c r="C17" i="6" s="1"/>
  <c r="J35" i="3"/>
  <c r="A35" i="3"/>
  <c r="I35" i="3"/>
  <c r="H35" i="3"/>
  <c r="E35" i="3"/>
  <c r="G35" i="3"/>
  <c r="F35" i="3"/>
  <c r="C35" i="3"/>
  <c r="B35" i="3"/>
  <c r="K35" i="3"/>
  <c r="F42" i="6"/>
  <c r="C42" i="6" s="1"/>
  <c r="D42" i="6"/>
  <c r="B42" i="6"/>
  <c r="A42" i="6"/>
  <c r="K44" i="3"/>
  <c r="B44" i="3"/>
  <c r="G44" i="3"/>
  <c r="F44" i="3"/>
  <c r="E44" i="3"/>
  <c r="C44" i="3"/>
  <c r="A44" i="3"/>
  <c r="J44" i="3"/>
  <c r="I44" i="3"/>
  <c r="H44" i="3"/>
  <c r="F34" i="6"/>
  <c r="C34" i="6" s="1"/>
  <c r="D34" i="6"/>
  <c r="B34" i="6"/>
  <c r="A34" i="6"/>
  <c r="K31" i="8"/>
  <c r="AC31" i="7"/>
  <c r="F36" i="6"/>
  <c r="C36" i="6" s="1"/>
  <c r="B36" i="6"/>
  <c r="A36" i="6"/>
  <c r="D36" i="6"/>
  <c r="A22" i="6"/>
  <c r="B22" i="6"/>
  <c r="F22" i="6"/>
  <c r="C22" i="6" s="1"/>
  <c r="D22" i="6"/>
  <c r="B23" i="6"/>
  <c r="A23" i="6"/>
  <c r="D23" i="6"/>
  <c r="F23" i="6"/>
  <c r="C23" i="6" s="1"/>
  <c r="F18" i="6"/>
  <c r="C18" i="6" s="1"/>
  <c r="D18" i="6"/>
  <c r="B18" i="6"/>
  <c r="A18" i="6"/>
  <c r="E22" i="3"/>
  <c r="C22" i="3"/>
  <c r="K22" i="3"/>
  <c r="B22" i="3"/>
  <c r="J22" i="3"/>
  <c r="A22" i="3"/>
  <c r="I22" i="3"/>
  <c r="G22" i="3"/>
  <c r="F22" i="3"/>
  <c r="H22" i="3"/>
  <c r="E6" i="3"/>
  <c r="C6" i="3"/>
  <c r="K6" i="3"/>
  <c r="B6" i="3"/>
  <c r="J6" i="3"/>
  <c r="A6" i="3"/>
  <c r="I6" i="3"/>
  <c r="G6" i="3"/>
  <c r="F6" i="3"/>
  <c r="H6" i="3"/>
  <c r="D9" i="6"/>
  <c r="B9" i="6"/>
  <c r="A9" i="6"/>
  <c r="F9" i="6"/>
  <c r="C9" i="6" s="1"/>
  <c r="I23" i="3"/>
  <c r="H23" i="3"/>
  <c r="G23" i="3"/>
  <c r="F23" i="3"/>
  <c r="E23" i="3"/>
  <c r="K23" i="3"/>
  <c r="B23" i="3"/>
  <c r="J23" i="3"/>
  <c r="A23" i="3"/>
  <c r="C23" i="3"/>
  <c r="I7" i="3"/>
  <c r="H7" i="3"/>
  <c r="G7" i="3"/>
  <c r="F7" i="3"/>
  <c r="E7" i="3"/>
  <c r="K7" i="3"/>
  <c r="B7" i="3"/>
  <c r="A7" i="3"/>
  <c r="J7" i="3"/>
  <c r="C7" i="3"/>
  <c r="K39" i="3"/>
  <c r="J39" i="3"/>
  <c r="A39" i="3"/>
  <c r="I39" i="3"/>
  <c r="H39" i="3"/>
  <c r="G39" i="3"/>
  <c r="F39" i="3"/>
  <c r="E39" i="3"/>
  <c r="C39" i="3"/>
  <c r="B39" i="3"/>
  <c r="J31" i="3"/>
  <c r="A31" i="3"/>
  <c r="I31" i="3"/>
  <c r="H31" i="3"/>
  <c r="G31" i="3"/>
  <c r="F31" i="3"/>
  <c r="E31" i="3"/>
  <c r="C31" i="3"/>
  <c r="K31" i="3"/>
  <c r="B31" i="3"/>
  <c r="B7" i="6"/>
  <c r="A7" i="6"/>
  <c r="D7" i="6"/>
  <c r="F7" i="6"/>
  <c r="C7" i="6" s="1"/>
  <c r="J37" i="3"/>
  <c r="A37" i="3"/>
  <c r="I37" i="3"/>
  <c r="H37" i="3"/>
  <c r="G37" i="3"/>
  <c r="F37" i="3"/>
  <c r="E37" i="3"/>
  <c r="C37" i="3"/>
  <c r="K37" i="3"/>
  <c r="B37" i="3"/>
  <c r="G43" i="3"/>
  <c r="K43" i="3"/>
  <c r="B43" i="3"/>
  <c r="J43" i="3"/>
  <c r="A43" i="3"/>
  <c r="E43" i="3"/>
  <c r="C43" i="3"/>
  <c r="I43" i="3"/>
  <c r="H43" i="3"/>
  <c r="F43" i="3"/>
  <c r="E24" i="3"/>
  <c r="C24" i="3"/>
  <c r="K24" i="3"/>
  <c r="B24" i="3"/>
  <c r="J24" i="3"/>
  <c r="A24" i="3"/>
  <c r="I24" i="3"/>
  <c r="G24" i="3"/>
  <c r="H24" i="3"/>
  <c r="F24" i="3"/>
  <c r="I15" i="3"/>
  <c r="H15" i="3"/>
  <c r="G15" i="3"/>
  <c r="F15" i="3"/>
  <c r="E15" i="3"/>
  <c r="K15" i="3"/>
  <c r="B15" i="3"/>
  <c r="C15" i="3"/>
  <c r="A15" i="3"/>
  <c r="J15" i="3"/>
  <c r="J27" i="3"/>
  <c r="A27" i="3"/>
  <c r="I27" i="3"/>
  <c r="H27" i="3"/>
  <c r="G27" i="3"/>
  <c r="F27" i="3"/>
  <c r="C27" i="3"/>
  <c r="B27" i="3"/>
  <c r="E27" i="3"/>
  <c r="K27" i="3"/>
  <c r="K30" i="8"/>
  <c r="L47" i="8" s="1"/>
  <c r="AC30" i="7"/>
  <c r="F28" i="6"/>
  <c r="C28" i="6" s="1"/>
  <c r="B28" i="6"/>
  <c r="A28" i="6"/>
  <c r="D28" i="6"/>
  <c r="A14" i="6"/>
  <c r="B14" i="6"/>
  <c r="F14" i="6"/>
  <c r="C14" i="6" s="1"/>
  <c r="D14" i="6"/>
  <c r="B15" i="6"/>
  <c r="A15" i="6"/>
  <c r="D15" i="6"/>
  <c r="F15" i="6"/>
  <c r="C15" i="6" s="1"/>
  <c r="F10" i="6"/>
  <c r="C10" i="6" s="1"/>
  <c r="D10" i="6"/>
  <c r="B10" i="6"/>
  <c r="A10" i="6"/>
  <c r="E20" i="3"/>
  <c r="C20" i="3"/>
  <c r="K20" i="3"/>
  <c r="B20" i="3"/>
  <c r="J20" i="3"/>
  <c r="A20" i="3"/>
  <c r="I20" i="3"/>
  <c r="G20" i="3"/>
  <c r="F20" i="3"/>
  <c r="H20" i="3"/>
  <c r="F38" i="3"/>
  <c r="E38" i="3"/>
  <c r="C38" i="3"/>
  <c r="K38" i="3"/>
  <c r="B38" i="3"/>
  <c r="I38" i="3"/>
  <c r="J38" i="3"/>
  <c r="A38" i="3"/>
  <c r="H38" i="3"/>
  <c r="G38" i="3"/>
  <c r="K42" i="3"/>
  <c r="G42" i="3"/>
  <c r="F42" i="3"/>
  <c r="C42" i="3"/>
  <c r="I42" i="3"/>
  <c r="B42" i="3"/>
  <c r="A42" i="3"/>
  <c r="J42" i="3"/>
  <c r="H42" i="3"/>
  <c r="E42" i="3"/>
  <c r="I21" i="3"/>
  <c r="H21" i="3"/>
  <c r="G21" i="3"/>
  <c r="F21" i="3"/>
  <c r="E21" i="3"/>
  <c r="K21" i="3"/>
  <c r="B21" i="3"/>
  <c r="J21" i="3"/>
  <c r="C21" i="3"/>
  <c r="A21" i="3"/>
  <c r="J33" i="3"/>
  <c r="A33" i="3"/>
  <c r="I33" i="3"/>
  <c r="H33" i="3"/>
  <c r="G33" i="3"/>
  <c r="E33" i="3"/>
  <c r="F33" i="3"/>
  <c r="C33" i="3"/>
  <c r="K33" i="3"/>
  <c r="B33" i="3"/>
  <c r="AC8" i="7"/>
  <c r="L9" i="8" l="1"/>
  <c r="D9" i="8" s="1"/>
  <c r="L10" i="8"/>
  <c r="G10" i="8" s="1"/>
  <c r="L13" i="8"/>
  <c r="E13" i="8" s="1"/>
  <c r="L16" i="8"/>
  <c r="B16" i="8" s="1"/>
  <c r="L12" i="8"/>
  <c r="B12" i="8" s="1"/>
  <c r="L17" i="8"/>
  <c r="E17" i="8" s="1"/>
  <c r="L20" i="8"/>
  <c r="E20" i="8" s="1"/>
  <c r="L25" i="8"/>
  <c r="E25" i="8" s="1"/>
  <c r="L24" i="8"/>
  <c r="A24" i="8" s="1"/>
  <c r="L21" i="8"/>
  <c r="C21" i="8" s="1"/>
  <c r="L18" i="8"/>
  <c r="C18" i="8" s="1"/>
  <c r="L23" i="8"/>
  <c r="F23" i="8" s="1"/>
  <c r="L22" i="8"/>
  <c r="G22" i="8" s="1"/>
  <c r="L19" i="8"/>
  <c r="A19" i="8" s="1"/>
  <c r="L8" i="8"/>
  <c r="E8" i="8" s="1"/>
  <c r="L26" i="8"/>
  <c r="H26" i="8" s="1"/>
  <c r="L27" i="8"/>
  <c r="G27" i="8" s="1"/>
  <c r="L14" i="8"/>
  <c r="G14" i="8" s="1"/>
  <c r="L11" i="8"/>
  <c r="F11" i="8" s="1"/>
  <c r="L15" i="8"/>
  <c r="B15" i="8" s="1"/>
  <c r="L30" i="8"/>
  <c r="A30" i="8" s="1"/>
  <c r="L37" i="8"/>
  <c r="E37" i="8" s="1"/>
  <c r="B47" i="8"/>
  <c r="A47" i="8"/>
  <c r="F47" i="8"/>
  <c r="E47" i="8"/>
  <c r="D47" i="8"/>
  <c r="C47" i="8"/>
  <c r="H47" i="8"/>
  <c r="G47" i="8"/>
  <c r="L41" i="8"/>
  <c r="L46" i="8"/>
  <c r="L45" i="8"/>
  <c r="L38" i="8"/>
  <c r="L32" i="8"/>
  <c r="L31" i="8"/>
  <c r="L40" i="8"/>
  <c r="L44" i="8"/>
  <c r="L48" i="8"/>
  <c r="L39" i="8"/>
  <c r="L36" i="8"/>
  <c r="L35" i="8"/>
  <c r="L34" i="8"/>
  <c r="L29" i="8"/>
  <c r="L43" i="8"/>
  <c r="F37" i="8"/>
  <c r="L42" i="8"/>
  <c r="L33" i="8"/>
  <c r="B10" i="8" l="1"/>
  <c r="C10" i="8"/>
  <c r="H10" i="8"/>
  <c r="F9" i="8"/>
  <c r="E9" i="8"/>
  <c r="G9" i="8"/>
  <c r="H9" i="8"/>
  <c r="A9" i="8"/>
  <c r="B9" i="8"/>
  <c r="C9" i="8"/>
  <c r="D12" i="8"/>
  <c r="F12" i="8"/>
  <c r="E10" i="8"/>
  <c r="D10" i="8"/>
  <c r="A10" i="8"/>
  <c r="F13" i="8"/>
  <c r="G13" i="8"/>
  <c r="F10" i="8"/>
  <c r="H13" i="8"/>
  <c r="A13" i="8"/>
  <c r="F20" i="8"/>
  <c r="B13" i="8"/>
  <c r="H25" i="8"/>
  <c r="C13" i="8"/>
  <c r="D13" i="8"/>
  <c r="H16" i="8"/>
  <c r="D16" i="8"/>
  <c r="A16" i="8"/>
  <c r="C16" i="8"/>
  <c r="E16" i="8"/>
  <c r="F16" i="8"/>
  <c r="G16" i="8"/>
  <c r="H12" i="8"/>
  <c r="H14" i="8"/>
  <c r="G12" i="8"/>
  <c r="A12" i="8"/>
  <c r="C12" i="8"/>
  <c r="E12" i="8"/>
  <c r="B17" i="8"/>
  <c r="A26" i="8"/>
  <c r="F21" i="8"/>
  <c r="C22" i="8"/>
  <c r="A22" i="8"/>
  <c r="B22" i="8"/>
  <c r="H22" i="8"/>
  <c r="E22" i="8"/>
  <c r="F22" i="8"/>
  <c r="D22" i="8"/>
  <c r="A25" i="8"/>
  <c r="H18" i="8"/>
  <c r="E26" i="8"/>
  <c r="G20" i="8"/>
  <c r="D23" i="8"/>
  <c r="C19" i="8"/>
  <c r="A20" i="8"/>
  <c r="H20" i="8"/>
  <c r="B8" i="8"/>
  <c r="G17" i="8"/>
  <c r="D20" i="8"/>
  <c r="B20" i="8"/>
  <c r="C8" i="8"/>
  <c r="A8" i="8"/>
  <c r="C20" i="8"/>
  <c r="F8" i="8"/>
  <c r="G23" i="8"/>
  <c r="E23" i="8"/>
  <c r="A14" i="8"/>
  <c r="B21" i="8"/>
  <c r="H23" i="8"/>
  <c r="D14" i="8"/>
  <c r="H21" i="8"/>
  <c r="G8" i="8"/>
  <c r="A23" i="8"/>
  <c r="F14" i="8"/>
  <c r="A21" i="8"/>
  <c r="E18" i="8"/>
  <c r="B14" i="8"/>
  <c r="D21" i="8"/>
  <c r="E21" i="8"/>
  <c r="C14" i="8"/>
  <c r="D8" i="8"/>
  <c r="C23" i="8"/>
  <c r="A15" i="8"/>
  <c r="F26" i="8"/>
  <c r="C27" i="8"/>
  <c r="B24" i="8"/>
  <c r="B25" i="8"/>
  <c r="H8" i="8"/>
  <c r="G26" i="8"/>
  <c r="D27" i="8"/>
  <c r="B23" i="8"/>
  <c r="F19" i="8"/>
  <c r="C24" i="8"/>
  <c r="E14" i="8"/>
  <c r="G21" i="8"/>
  <c r="C25" i="8"/>
  <c r="E27" i="8"/>
  <c r="F24" i="8"/>
  <c r="F27" i="8"/>
  <c r="D25" i="8"/>
  <c r="B26" i="8"/>
  <c r="F25" i="8"/>
  <c r="C26" i="8"/>
  <c r="H27" i="8"/>
  <c r="G24" i="8"/>
  <c r="G25" i="8"/>
  <c r="D26" i="8"/>
  <c r="A27" i="8"/>
  <c r="H24" i="8"/>
  <c r="E24" i="8"/>
  <c r="D24" i="8"/>
  <c r="B27" i="8"/>
  <c r="C17" i="8"/>
  <c r="D18" i="8"/>
  <c r="G19" i="8"/>
  <c r="F17" i="8"/>
  <c r="A18" i="8"/>
  <c r="B19" i="8"/>
  <c r="H17" i="8"/>
  <c r="F18" i="8"/>
  <c r="D19" i="8"/>
  <c r="G11" i="8"/>
  <c r="A17" i="8"/>
  <c r="G18" i="8"/>
  <c r="E19" i="8"/>
  <c r="B11" i="8"/>
  <c r="D17" i="8"/>
  <c r="B18" i="8"/>
  <c r="H19" i="8"/>
  <c r="A11" i="8"/>
  <c r="F15" i="8"/>
  <c r="E11" i="8"/>
  <c r="D15" i="8"/>
  <c r="G15" i="8"/>
  <c r="E15" i="8"/>
  <c r="C15" i="8"/>
  <c r="C11" i="8"/>
  <c r="D11" i="8"/>
  <c r="G30" i="8"/>
  <c r="H15" i="8"/>
  <c r="H11" i="8"/>
  <c r="B30" i="8"/>
  <c r="H30" i="8"/>
  <c r="G37" i="8"/>
  <c r="C30" i="8"/>
  <c r="D30" i="8"/>
  <c r="A37" i="8"/>
  <c r="E30" i="8"/>
  <c r="B37" i="8"/>
  <c r="F30" i="8"/>
  <c r="C37" i="8"/>
  <c r="D37" i="8"/>
  <c r="H37" i="8"/>
  <c r="F33" i="8"/>
  <c r="E33" i="8"/>
  <c r="B33" i="8"/>
  <c r="A33" i="8"/>
  <c r="D33" i="8"/>
  <c r="C33" i="8"/>
  <c r="H33" i="8"/>
  <c r="G33" i="8"/>
  <c r="H48" i="8"/>
  <c r="G48" i="8"/>
  <c r="D48" i="8"/>
  <c r="C48" i="8"/>
  <c r="F48" i="8"/>
  <c r="E48" i="8"/>
  <c r="B48" i="8"/>
  <c r="A48" i="8"/>
  <c r="F29" i="8"/>
  <c r="E29" i="8"/>
  <c r="B29" i="8"/>
  <c r="A29" i="8"/>
  <c r="H29" i="8"/>
  <c r="G29" i="8"/>
  <c r="D29" i="8"/>
  <c r="C29" i="8"/>
  <c r="B31" i="8"/>
  <c r="A31" i="8"/>
  <c r="F31" i="8"/>
  <c r="E31" i="8"/>
  <c r="D31" i="8"/>
  <c r="C31" i="8"/>
  <c r="H31" i="8"/>
  <c r="G31" i="8"/>
  <c r="B43" i="8"/>
  <c r="A43" i="8"/>
  <c r="F43" i="8"/>
  <c r="E43" i="8"/>
  <c r="H43" i="8"/>
  <c r="G43" i="8"/>
  <c r="D43" i="8"/>
  <c r="C43" i="8"/>
  <c r="H40" i="8"/>
  <c r="G40" i="8"/>
  <c r="D40" i="8"/>
  <c r="C40" i="8"/>
  <c r="F40" i="8"/>
  <c r="E40" i="8"/>
  <c r="B40" i="8"/>
  <c r="A40" i="8"/>
  <c r="D34" i="8"/>
  <c r="C34" i="8"/>
  <c r="H34" i="8"/>
  <c r="G34" i="8"/>
  <c r="F34" i="8"/>
  <c r="E34" i="8"/>
  <c r="B34" i="8"/>
  <c r="A34" i="8"/>
  <c r="H32" i="8"/>
  <c r="G32" i="8"/>
  <c r="D32" i="8"/>
  <c r="C32" i="8"/>
  <c r="F32" i="8"/>
  <c r="E32" i="8"/>
  <c r="B32" i="8"/>
  <c r="A32" i="8"/>
  <c r="D42" i="8"/>
  <c r="C42" i="8"/>
  <c r="H42" i="8"/>
  <c r="G42" i="8"/>
  <c r="F42" i="8"/>
  <c r="E42" i="8"/>
  <c r="B42" i="8"/>
  <c r="A42" i="8"/>
  <c r="H44" i="8"/>
  <c r="G44" i="8"/>
  <c r="D44" i="8"/>
  <c r="C44" i="8"/>
  <c r="B44" i="8"/>
  <c r="A44" i="8"/>
  <c r="F44" i="8"/>
  <c r="E44" i="8"/>
  <c r="B35" i="8"/>
  <c r="A35" i="8"/>
  <c r="F35" i="8"/>
  <c r="E35" i="8"/>
  <c r="H35" i="8"/>
  <c r="G35" i="8"/>
  <c r="D35" i="8"/>
  <c r="C35" i="8"/>
  <c r="D38" i="8"/>
  <c r="C38" i="8"/>
  <c r="H38" i="8"/>
  <c r="G38" i="8"/>
  <c r="B38" i="8"/>
  <c r="A38" i="8"/>
  <c r="E38" i="8"/>
  <c r="F38" i="8"/>
  <c r="H36" i="8"/>
  <c r="G36" i="8"/>
  <c r="D36" i="8"/>
  <c r="C36" i="8"/>
  <c r="B36" i="8"/>
  <c r="A36" i="8"/>
  <c r="F36" i="8"/>
  <c r="E36" i="8"/>
  <c r="F45" i="8"/>
  <c r="E45" i="8"/>
  <c r="B45" i="8"/>
  <c r="A45" i="8"/>
  <c r="H45" i="8"/>
  <c r="G45" i="8"/>
  <c r="D45" i="8"/>
  <c r="C45" i="8"/>
  <c r="B39" i="8"/>
  <c r="A39" i="8"/>
  <c r="F39" i="8"/>
  <c r="E39" i="8"/>
  <c r="D39" i="8"/>
  <c r="C39" i="8"/>
  <c r="H39" i="8"/>
  <c r="G39" i="8"/>
  <c r="D46" i="8"/>
  <c r="C46" i="8"/>
  <c r="H46" i="8"/>
  <c r="G46" i="8"/>
  <c r="B46" i="8"/>
  <c r="A46" i="8"/>
  <c r="F46" i="8"/>
  <c r="E46" i="8"/>
  <c r="F41" i="8"/>
  <c r="E41" i="8"/>
  <c r="B41" i="8"/>
  <c r="A41" i="8"/>
  <c r="D41" i="8"/>
  <c r="C41" i="8"/>
  <c r="H41" i="8"/>
  <c r="G41" i="8"/>
</calcChain>
</file>

<file path=xl/sharedStrings.xml><?xml version="1.0" encoding="utf-8"?>
<sst xmlns="http://schemas.openxmlformats.org/spreadsheetml/2006/main" count="143" uniqueCount="120">
  <si>
    <t>Arrangør dokument</t>
  </si>
  <si>
    <t>08-07-2026</t>
  </si>
  <si>
    <t>Microsoft Excel 365</t>
  </si>
  <si>
    <t>Microsoft Excel 2021</t>
  </si>
  <si>
    <t>Disciplin B</t>
  </si>
  <si>
    <t>Disciplin C</t>
  </si>
  <si>
    <t xml:space="preserve">Start nr. </t>
  </si>
  <si>
    <t>Kusk</t>
  </si>
  <si>
    <t>Selskab</t>
  </si>
  <si>
    <t>8 km/t</t>
  </si>
  <si>
    <t>9 km/t</t>
  </si>
  <si>
    <t>10 km/t</t>
  </si>
  <si>
    <t>11 km/t</t>
  </si>
  <si>
    <t>12 km/t</t>
  </si>
  <si>
    <t>13 km/t</t>
  </si>
  <si>
    <t>Hastighed på B</t>
  </si>
  <si>
    <t xml:space="preserve">150 meter/min </t>
  </si>
  <si>
    <t>180 meter/min</t>
  </si>
  <si>
    <t>200 meter/min</t>
  </si>
  <si>
    <t>Spand type</t>
  </si>
  <si>
    <t>Vogn type</t>
  </si>
  <si>
    <t>Vogn fabrikant</t>
  </si>
  <si>
    <t>Udvendig sporvidde</t>
  </si>
  <si>
    <t>Afstand hjulbånd</t>
  </si>
  <si>
    <t>Port bredde</t>
  </si>
  <si>
    <t>Vogne før 1945</t>
  </si>
  <si>
    <t>Vogne efter 1945</t>
  </si>
  <si>
    <t>CONCOURS DE TRADITION</t>
  </si>
  <si>
    <t xml:space="preserve">STARTLISTE </t>
  </si>
  <si>
    <t>Start nr.</t>
  </si>
  <si>
    <t xml:space="preserve">Kusk </t>
  </si>
  <si>
    <t xml:space="preserve">Selskab </t>
  </si>
  <si>
    <t>Start tid Præsentation</t>
  </si>
  <si>
    <t>Hastighed på C</t>
  </si>
  <si>
    <t>Antal km:</t>
  </si>
  <si>
    <t>km</t>
  </si>
  <si>
    <t>Anden hastighed man ønsker at beregne [km/t]</t>
  </si>
  <si>
    <t>Tiden er opgivet i timer:min:sek</t>
  </si>
  <si>
    <t>Standard hastigheder [km/t]</t>
  </si>
  <si>
    <t>Min. tid</t>
  </si>
  <si>
    <t>Tid</t>
  </si>
  <si>
    <t>Maks. tid</t>
  </si>
  <si>
    <t>Banens længde:</t>
  </si>
  <si>
    <t>Meter</t>
  </si>
  <si>
    <t>Anden hastighed man ønsker at beregne [Meter/min]</t>
  </si>
  <si>
    <t>Tiden er opgivet i min:sek</t>
  </si>
  <si>
    <t>Standard hastigheder [m/min]</t>
  </si>
  <si>
    <t xml:space="preserve">BANEPERSONALE  </t>
  </si>
  <si>
    <t>Tilladt tid</t>
  </si>
  <si>
    <t>A: Præsentation</t>
  </si>
  <si>
    <t>B: Rute</t>
  </si>
  <si>
    <t>C: Keglekørsel</t>
  </si>
  <si>
    <t>A+B+C</t>
  </si>
  <si>
    <t>Start 
nr.</t>
  </si>
  <si>
    <t>Dommer
 1
point</t>
  </si>
  <si>
    <t>Dommer
 2
point</t>
  </si>
  <si>
    <t>Dommer
 3
point</t>
  </si>
  <si>
    <t>Gennemsnit
point</t>
  </si>
  <si>
    <t>Evt. 
Strafpoint</t>
  </si>
  <si>
    <t>resultat
strafpoint</t>
  </si>
  <si>
    <t>prøve
 1</t>
  </si>
  <si>
    <t>prøve
 2</t>
  </si>
  <si>
    <t>prøve
 3</t>
  </si>
  <si>
    <t>prøve
 4</t>
  </si>
  <si>
    <t>prøve
 5</t>
  </si>
  <si>
    <t>prøve
 6</t>
  </si>
  <si>
    <t>prøve
 7</t>
  </si>
  <si>
    <t>Tidsforbrug i  Timer:Min:Sek</t>
  </si>
  <si>
    <t>Tid
strafpoint</t>
  </si>
  <si>
    <t>Bolde
strafpoint</t>
  </si>
  <si>
    <t>Andre 
strafpoint</t>
  </si>
  <si>
    <t>Tidsforbrug i                   Min:Sek</t>
  </si>
  <si>
    <t>Samlet 
resultat
strafpoint</t>
  </si>
  <si>
    <t>placering</t>
  </si>
  <si>
    <t>navn</t>
  </si>
  <si>
    <t>OFFICIEL RESULTATLISTE</t>
  </si>
  <si>
    <t>A præsentation</t>
  </si>
  <si>
    <t>B                      rute</t>
  </si>
  <si>
    <t>C                keglekørsel</t>
  </si>
  <si>
    <t>Samlet strafpoint</t>
  </si>
  <si>
    <t>Plac.</t>
  </si>
  <si>
    <t>Klasse / kategori</t>
  </si>
  <si>
    <t>Sortnøgle</t>
  </si>
  <si>
    <t>Kilderække</t>
  </si>
  <si>
    <t>Version</t>
  </si>
  <si>
    <t>Dato</t>
  </si>
  <si>
    <t>Ændring</t>
  </si>
  <si>
    <t>Kode/bemærkning</t>
  </si>
  <si>
    <t>Version 5.0</t>
  </si>
  <si>
    <t xml:space="preserve">Senest opdateret </t>
  </si>
  <si>
    <t xml:space="preserve">Udviklet til </t>
  </si>
  <si>
    <t xml:space="preserve">Minimum anbefalet </t>
  </si>
  <si>
    <t xml:space="preserve">Dette dokument er gjort automatisk, for at hjælpe dig til brug ved afholdelse af stævner i samarbejde med DKF og AIAT Danmark. </t>
  </si>
  <si>
    <r>
      <t xml:space="preserve">Arket       </t>
    </r>
    <r>
      <rPr>
        <b/>
        <sz val="11"/>
        <color theme="1"/>
        <rFont val="Aptos Narrow"/>
        <family val="2"/>
      </rPr>
      <t>Deltagerinfo</t>
    </r>
  </si>
  <si>
    <r>
      <rPr>
        <sz val="11"/>
        <color theme="1"/>
        <rFont val="Aptos Narrow"/>
        <family val="2"/>
      </rPr>
      <t>Ved at sætte deltagernes info ind her i arket, bliver forskellige elementer indkoporeret i de senere ark</t>
    </r>
    <r>
      <rPr>
        <sz val="11"/>
        <color theme="1"/>
        <rFont val="Aptos Narrow"/>
        <family val="2"/>
      </rPr>
      <t xml:space="preserve">. Vær op mærksom på at placere deltagerne med vogne </t>
    </r>
    <r>
      <rPr>
        <b/>
        <sz val="11"/>
        <color theme="1"/>
        <rFont val="Aptos Narrow"/>
        <family val="2"/>
      </rPr>
      <t>før</t>
    </r>
    <r>
      <rPr>
        <sz val="11"/>
        <color theme="1"/>
        <rFont val="Aptos Narrow"/>
        <family val="2"/>
      </rPr>
      <t xml:space="preserve"> 1945 øverst, og rul ned og placer deltagerne med vogne </t>
    </r>
    <r>
      <rPr>
        <b/>
        <sz val="11"/>
        <color theme="1"/>
        <rFont val="Aptos Narrow"/>
        <family val="2"/>
      </rPr>
      <t>efter</t>
    </r>
    <r>
      <rPr>
        <sz val="11"/>
        <color theme="1"/>
        <rFont val="Aptos Narrow"/>
        <family val="2"/>
      </rPr>
      <t xml:space="preserve"> 1945 efter den pågældende overskrift.</t>
    </r>
  </si>
  <si>
    <t xml:space="preserve">Giv deltagerne et start nr. efter den rækkefølge som de skal starte i - da dokumentet sætter start nr. 1 forrest på startlisten. </t>
  </si>
  <si>
    <r>
      <t xml:space="preserve">Arket             </t>
    </r>
    <r>
      <rPr>
        <b/>
        <sz val="11"/>
        <color theme="1"/>
        <rFont val="Aptos Narrow"/>
        <family val="2"/>
      </rPr>
      <t>Startliste</t>
    </r>
  </si>
  <si>
    <t xml:space="preserve">Dokumentet henter selv deltagernes info fra tidligere ark, og sætter det automatisk i rækkefølge med start nr. 1 øverst. </t>
  </si>
  <si>
    <r>
      <t xml:space="preserve">I kolonne </t>
    </r>
    <r>
      <rPr>
        <b/>
        <sz val="11"/>
        <color theme="1"/>
        <rFont val="Aptos Narrow"/>
        <family val="2"/>
      </rPr>
      <t>D - "starttid præsentation"</t>
    </r>
    <r>
      <rPr>
        <sz val="11"/>
        <color theme="1"/>
        <rFont val="Aptos Narrow"/>
        <family val="2"/>
      </rPr>
      <t xml:space="preserve"> skal man manuelt skrive de ønskede starttider ud for hver kusk </t>
    </r>
  </si>
  <si>
    <r>
      <t xml:space="preserve">Arket                              </t>
    </r>
    <r>
      <rPr>
        <b/>
        <sz val="11"/>
        <color theme="1"/>
        <rFont val="Aptos Narrow"/>
        <family val="2"/>
      </rPr>
      <t>B tider</t>
    </r>
  </si>
  <si>
    <r>
      <rPr>
        <b/>
        <sz val="11"/>
        <rFont val="Aptos Narrow"/>
        <family val="2"/>
      </rPr>
      <t xml:space="preserve">C 5" </t>
    </r>
    <r>
      <rPr>
        <sz val="11"/>
        <rFont val="Aptos Narrow"/>
        <family val="2"/>
      </rPr>
      <t>Her udfylder man rutens længde i Km og meter - herefter kan man i skemaet se tiderne for den pågælende rute med henholdsvis 6, 7, 8, 9, 10, 11, 12 og 13 km/timen - det er således disse som er automatiseret i de følgende ark.</t>
    </r>
  </si>
  <si>
    <r>
      <rPr>
        <b/>
        <sz val="11"/>
        <color theme="1"/>
        <rFont val="Aptos Narrow"/>
        <family val="2"/>
      </rPr>
      <t xml:space="preserve">H 10" </t>
    </r>
    <r>
      <rPr>
        <sz val="11"/>
        <color theme="1"/>
        <rFont val="Aptos Narrow"/>
        <family val="2"/>
      </rPr>
      <t>Her kan man skrive en anden km/timen, dette er dog ikke en del af det automatiserede system.</t>
    </r>
  </si>
  <si>
    <r>
      <t xml:space="preserve">Arket                             </t>
    </r>
    <r>
      <rPr>
        <b/>
        <sz val="11"/>
        <color theme="1"/>
        <rFont val="Aptos Narrow"/>
        <family val="2"/>
      </rPr>
      <t>C tider</t>
    </r>
  </si>
  <si>
    <r>
      <rPr>
        <b/>
        <sz val="11"/>
        <rFont val="Aptos Narrow"/>
        <family val="2"/>
      </rPr>
      <t xml:space="preserve">C 5" </t>
    </r>
    <r>
      <rPr>
        <sz val="11"/>
        <rFont val="Aptos Narrow"/>
        <family val="2"/>
      </rPr>
      <t>Her udfylder man keglebanens længde i meter - Herefter kan man i skemaet se tiderne for den pågælende bane med henholdsvis 150, 180 og 200 Meter/min - det er således disse som er automatiseret i de følgende ark.</t>
    </r>
  </si>
  <si>
    <r>
      <rPr>
        <b/>
        <sz val="11"/>
        <color theme="1"/>
        <rFont val="Aptos Narrow"/>
        <family val="2"/>
      </rPr>
      <t xml:space="preserve">G 10" </t>
    </r>
    <r>
      <rPr>
        <sz val="11"/>
        <color theme="1"/>
        <rFont val="Aptos Narrow"/>
        <family val="2"/>
      </rPr>
      <t>Her kan man skive en anden Meter/min, dette er dog ikke en del af det automatiserede system.</t>
    </r>
  </si>
  <si>
    <r>
      <t xml:space="preserve">Arket                     </t>
    </r>
    <r>
      <rPr>
        <b/>
        <sz val="11"/>
        <color theme="1"/>
        <rFont val="Aptos Narrow"/>
        <family val="2"/>
      </rPr>
      <t xml:space="preserve">Bane personale </t>
    </r>
  </si>
  <si>
    <t>Arket er automatiseret,  efter at info i de tidligere ark er skrevet ind -  lige klar til print</t>
  </si>
  <si>
    <r>
      <t xml:space="preserve">Arket   </t>
    </r>
    <r>
      <rPr>
        <b/>
        <sz val="11"/>
        <color theme="1"/>
        <rFont val="Aptos Narrow"/>
        <family val="2"/>
      </rPr>
      <t>Resultatberegning</t>
    </r>
  </si>
  <si>
    <r>
      <rPr>
        <b/>
        <sz val="11"/>
        <color theme="1"/>
        <rFont val="Aptos Narrow"/>
        <family val="2"/>
      </rPr>
      <t>A præcentationen</t>
    </r>
    <r>
      <rPr>
        <sz val="11"/>
        <color theme="1"/>
        <rFont val="Aptos Narrow"/>
        <family val="2"/>
      </rPr>
      <t xml:space="preserve"> - her taster man dommernes point - arket omregner automatisk til strafpoint  - har man kun en dommer bruger man 1. dommer. Har man to dommere bruger man 1. og 2. dommer osv.</t>
    </r>
  </si>
  <si>
    <r>
      <rPr>
        <b/>
        <sz val="11"/>
        <color theme="1"/>
        <rFont val="Aptos Narrow"/>
        <family val="2"/>
      </rPr>
      <t xml:space="preserve">H" </t>
    </r>
    <r>
      <rPr>
        <sz val="11"/>
        <color theme="1"/>
        <rFont val="Aptos Narrow"/>
        <family val="2"/>
      </rPr>
      <t>Her</t>
    </r>
    <r>
      <rPr>
        <sz val="11"/>
        <color theme="1"/>
        <rFont val="Aptos Narrow"/>
        <family val="2"/>
      </rPr>
      <t xml:space="preserve"> taster man evt. strafpoint fx. Pisk, gamacher mm. eller for sen ankomst.</t>
    </r>
  </si>
  <si>
    <r>
      <rPr>
        <b/>
        <sz val="11"/>
        <color theme="1"/>
        <rFont val="Aptos Narrow"/>
        <family val="2"/>
      </rPr>
      <t>B ruten"</t>
    </r>
    <r>
      <rPr>
        <sz val="11"/>
        <color theme="1"/>
        <rFont val="Aptos Narrow"/>
        <family val="2"/>
      </rPr>
      <t xml:space="preserve"> Her taster man prøvernes point samt tidsfrobrug i Timer:Min:Sek - arket omregner automatisk til strafpoint.</t>
    </r>
  </si>
  <si>
    <r>
      <rPr>
        <b/>
        <sz val="11"/>
        <color theme="1"/>
        <rFont val="Aptos Narrow"/>
        <family val="2"/>
      </rPr>
      <t>C keglekørsel"</t>
    </r>
    <r>
      <rPr>
        <sz val="11"/>
        <color theme="1"/>
        <rFont val="Aptos Narrow"/>
        <family val="2"/>
      </rPr>
      <t xml:space="preserve">  Her taster man strafpoint for bolde og evt. andre strafpoint og tidsforbrug i Min</t>
    </r>
    <r>
      <rPr>
        <b/>
        <sz val="11"/>
        <color theme="1"/>
        <rFont val="Aptos Narrow"/>
        <family val="2"/>
      </rPr>
      <t>:</t>
    </r>
    <r>
      <rPr>
        <sz val="11"/>
        <color theme="1"/>
        <rFont val="Aptos Narrow"/>
        <family val="2"/>
      </rPr>
      <t>Sek</t>
    </r>
  </si>
  <si>
    <r>
      <t xml:space="preserve">Arket               </t>
    </r>
    <r>
      <rPr>
        <b/>
        <sz val="11"/>
        <color theme="1"/>
        <rFont val="Aptos Narrow"/>
        <family val="2"/>
      </rPr>
      <t>Resultat</t>
    </r>
  </si>
  <si>
    <t>Her kan man se det endelige resultat som dokumentet automatisk opsætter- man kan evt. skjule de tomme rækker for at trække de to klasser tættere sammen.</t>
  </si>
  <si>
    <t>HER TASTER MAN KUN I DE BLÅ FELTER</t>
  </si>
  <si>
    <t xml:space="preserve">Deltager info </t>
  </si>
  <si>
    <t>Der må kun skrives i de blå felter!</t>
  </si>
  <si>
    <t>Ved at indtaste banens længde i den blå boks kan I se banens præcise tilladte tid. I kan også indtaste en anden hastighed i den blå boks i tabellen. Denne er ikke automatiseret i systemet.</t>
  </si>
  <si>
    <t>Ved at indtaste antal km i den blå boks kan I se den præcise tid for ruten. I kan også indtaste en anden hastighed i den blå boks i tabellen. Denne er ikke automatiseret i systemet.</t>
  </si>
  <si>
    <t xml:space="preserve">5.0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</si>
</sst>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m:ss.00"/>
    <numFmt numFmtId="166" formatCode="m:ss"/>
    <numFmt numFmtId="167" formatCode="[$-F400]h:mm:ss\ AM/PM"/>
    <numFmt numFmtId="168" formatCode=";;;"/>
  </numFmts>
  <fonts count="30">
    <font>
      <sz val="11"/>
      <color theme="1"/>
      <name val="Aptos Narrow"/>
    </font>
    <font>
      <sz val="11"/>
      <color theme="1"/>
      <name val="Aptos Narrow"/>
    </font>
    <font>
      <b/>
      <sz val="11"/>
      <color theme="1"/>
      <name val="Aptos Narrow"/>
    </font>
    <font>
      <sz val="12"/>
      <name val="Montserrat"/>
    </font>
    <font>
      <b/>
      <sz val="14"/>
      <color theme="1"/>
      <name val="Aptos Narrow"/>
    </font>
    <font>
      <b/>
      <sz val="20"/>
      <name val="Montserrat"/>
    </font>
    <font>
      <b/>
      <sz val="16"/>
      <name val="Montserrat"/>
    </font>
    <font>
      <b/>
      <sz val="11"/>
      <name val="Aptos Narrow"/>
    </font>
    <font>
      <sz val="11"/>
      <name val="Aptos Narrow"/>
    </font>
    <font>
      <b/>
      <sz val="16"/>
      <color theme="1"/>
      <name val="Aptos Narrow"/>
    </font>
    <font>
      <sz val="16"/>
      <color theme="1"/>
      <name val="Aptos Narrow"/>
    </font>
    <font>
      <sz val="11"/>
      <color theme="1"/>
      <name val="Aptos Narrow"/>
    </font>
    <font>
      <b/>
      <sz val="10"/>
      <color theme="1"/>
      <name val="Aptos Narrow"/>
    </font>
    <font>
      <sz val="10"/>
      <color theme="1"/>
      <name val="Aptos Narrow"/>
    </font>
    <font>
      <sz val="10"/>
      <name val="Calibri"/>
    </font>
    <font>
      <b/>
      <sz val="11"/>
      <color rgb="FFFFFFFF"/>
      <name val="Aptos Narrow"/>
    </font>
    <font>
      <sz val="10"/>
      <color rgb="FFFFFFFF"/>
      <name val="Calibri"/>
    </font>
    <font>
      <sz val="11"/>
      <color theme="1"/>
      <name val="Aptos Narrow"/>
      <family val="2"/>
    </font>
    <font>
      <b/>
      <sz val="18"/>
      <color rgb="FFDCE6F1"/>
      <name val="Calibri"/>
      <family val="2"/>
    </font>
    <font>
      <b/>
      <sz val="18"/>
      <color rgb="FF1F4E78"/>
      <name val="Calibri"/>
      <family val="2"/>
    </font>
    <font>
      <sz val="10"/>
      <color rgb="FF1F4E78"/>
      <name val="Calibri"/>
      <family val="2"/>
    </font>
    <font>
      <sz val="11"/>
      <color rgb="FF1F4E78"/>
      <name val="Aptos Narrow"/>
      <family val="2"/>
    </font>
    <font>
      <sz val="10"/>
      <name val="Calibri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sz val="11"/>
      <color rgb="FFDCE6F1"/>
      <name val="Aptos Narrow"/>
      <family val="2"/>
    </font>
    <font>
      <b/>
      <sz val="11"/>
      <color rgb="FFDCE6F1"/>
      <name val="Aptos Narrow"/>
      <family val="2"/>
    </font>
    <font>
      <sz val="12"/>
      <color rgb="FFDCE6F1"/>
      <name val="Montserrat"/>
    </font>
    <font>
      <b/>
      <sz val="12"/>
      <color rgb="FF1F4E78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89013336588644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0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rgb="FF1F4E78"/>
      </patternFill>
    </fill>
    <fill>
      <patternFill patternType="solid">
        <fgColor rgb="FFDCE6F1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16"/>
    <xf numFmtId="0" fontId="11" fillId="2" borderId="16"/>
  </cellStyleXfs>
  <cellXfs count="191"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7" fillId="5" borderId="0" xfId="0" applyFont="1" applyFill="1" applyBorder="1" applyAlignment="1">
      <alignment horizontal="left" vertical="center"/>
    </xf>
    <xf numFmtId="0" fontId="7" fillId="5" borderId="0" xfId="0" applyFont="1" applyFill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164" fontId="8" fillId="0" borderId="0" xfId="0" applyNumberFormat="1" applyFont="1" applyBorder="1" applyAlignment="1">
      <alignment horizontal="center" vertical="center"/>
    </xf>
    <xf numFmtId="0" fontId="7" fillId="0" borderId="0" xfId="0" applyFont="1" applyBorder="1"/>
    <xf numFmtId="164" fontId="7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2" fontId="0" fillId="0" borderId="6" xfId="0" applyNumberForma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2" fontId="0" fillId="0" borderId="0" xfId="0" applyNumberForma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166" fontId="10" fillId="0" borderId="0" xfId="0" applyNumberFormat="1" applyFont="1" applyBorder="1" applyAlignment="1">
      <alignment vertical="center"/>
    </xf>
    <xf numFmtId="166" fontId="0" fillId="0" borderId="0" xfId="0" applyNumberFormat="1" applyBorder="1" applyAlignment="1">
      <alignment vertical="center"/>
    </xf>
    <xf numFmtId="166" fontId="4" fillId="0" borderId="0" xfId="0" applyNumberFormat="1" applyFont="1" applyBorder="1" applyAlignment="1">
      <alignment vertical="center"/>
    </xf>
    <xf numFmtId="166" fontId="0" fillId="0" borderId="6" xfId="0" applyNumberFormat="1" applyBorder="1" applyAlignment="1">
      <alignment vertical="center"/>
    </xf>
    <xf numFmtId="166" fontId="2" fillId="0" borderId="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7" fillId="0" borderId="10" xfId="0" applyFont="1" applyBorder="1" applyAlignment="1">
      <alignment vertical="center"/>
    </xf>
    <xf numFmtId="46" fontId="0" fillId="0" borderId="4" xfId="0" applyNumberFormat="1" applyBorder="1" applyAlignment="1">
      <alignment vertical="center"/>
    </xf>
    <xf numFmtId="167" fontId="0" fillId="0" borderId="4" xfId="0" applyNumberFormat="1" applyBorder="1" applyAlignment="1">
      <alignment vertical="center"/>
    </xf>
    <xf numFmtId="4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166" fontId="0" fillId="0" borderId="4" xfId="0" applyNumberForma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4" fillId="0" borderId="16" xfId="0" applyFont="1" applyAlignment="1">
      <alignment vertical="center"/>
    </xf>
    <xf numFmtId="0" fontId="14" fillId="0" borderId="16" xfId="0" applyFont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11" fillId="0" borderId="0" xfId="0" applyFont="1" applyBorder="1" applyProtection="1"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5" borderId="0" xfId="0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5" borderId="0" xfId="0" applyFill="1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166" fontId="0" fillId="5" borderId="0" xfId="0" applyNumberFormat="1" applyFill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166" fontId="0" fillId="3" borderId="6" xfId="0" applyNumberFormat="1" applyFill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7" fillId="5" borderId="0" xfId="0" applyFont="1" applyFill="1" applyBorder="1" applyAlignment="1" applyProtection="1">
      <alignment horizontal="left" vertical="center"/>
      <protection locked="0"/>
    </xf>
    <xf numFmtId="0" fontId="8" fillId="5" borderId="0" xfId="0" applyFont="1" applyFill="1" applyBorder="1" applyProtection="1">
      <protection locked="0"/>
    </xf>
    <xf numFmtId="0" fontId="8" fillId="0" borderId="0" xfId="0" applyFont="1" applyBorder="1" applyProtection="1">
      <protection locked="0"/>
    </xf>
    <xf numFmtId="164" fontId="7" fillId="5" borderId="0" xfId="0" applyNumberFormat="1" applyFont="1" applyFill="1" applyBorder="1" applyAlignment="1" applyProtection="1">
      <alignment horizontal="center" vertical="center"/>
      <protection locked="0"/>
    </xf>
    <xf numFmtId="1" fontId="7" fillId="5" borderId="0" xfId="0" applyNumberFormat="1" applyFont="1" applyFill="1" applyBorder="1" applyAlignment="1" applyProtection="1">
      <alignment horizontal="center" vertical="center"/>
      <protection locked="0"/>
    </xf>
    <xf numFmtId="0" fontId="15" fillId="6" borderId="0" xfId="0" applyFont="1" applyFill="1" applyBorder="1" applyAlignment="1">
      <alignment horizontal="center" vertical="center"/>
    </xf>
    <xf numFmtId="0" fontId="20" fillId="0" borderId="16" xfId="0" applyFont="1" applyAlignment="1">
      <alignment vertical="center"/>
    </xf>
    <xf numFmtId="0" fontId="21" fillId="0" borderId="16" xfId="0" applyFont="1" applyAlignment="1">
      <alignment vertical="center" wrapText="1"/>
    </xf>
    <xf numFmtId="0" fontId="0" fillId="0" borderId="16" xfId="0" applyAlignment="1">
      <alignment vertical="center"/>
    </xf>
    <xf numFmtId="0" fontId="22" fillId="9" borderId="1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14" fontId="14" fillId="0" borderId="1" xfId="0" applyNumberFormat="1" applyFont="1" applyBorder="1" applyAlignment="1">
      <alignment horizontal="left" vertical="center"/>
    </xf>
    <xf numFmtId="0" fontId="24" fillId="0" borderId="5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2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27" fillId="8" borderId="11" xfId="0" applyFont="1" applyFill="1" applyBorder="1" applyAlignment="1">
      <alignment vertical="center" wrapText="1"/>
    </xf>
    <xf numFmtId="0" fontId="0" fillId="10" borderId="0" xfId="0" applyFill="1" applyBorder="1" applyAlignment="1" applyProtection="1">
      <alignment vertical="center"/>
      <protection locked="0"/>
    </xf>
    <xf numFmtId="0" fontId="0" fillId="10" borderId="0" xfId="0" applyFill="1" applyBorder="1" applyProtection="1">
      <protection locked="0"/>
    </xf>
    <xf numFmtId="0" fontId="0" fillId="10" borderId="0" xfId="0" applyFill="1" applyBorder="1" applyAlignment="1" applyProtection="1">
      <alignment horizontal="center" vertical="center" wrapText="1"/>
      <protection locked="0"/>
    </xf>
    <xf numFmtId="0" fontId="2" fillId="10" borderId="0" xfId="0" applyFont="1" applyFill="1" applyBorder="1" applyAlignment="1" applyProtection="1">
      <alignment horizontal="center" vertical="center" wrapText="1"/>
      <protection locked="0"/>
    </xf>
    <xf numFmtId="0" fontId="0" fillId="10" borderId="0" xfId="0" applyFill="1" applyBorder="1" applyAlignment="1" applyProtection="1">
      <alignment horizontal="left" vertical="center"/>
      <protection locked="0"/>
    </xf>
    <xf numFmtId="168" fontId="16" fillId="10" borderId="0" xfId="0" applyNumberFormat="1" applyFont="1" applyFill="1" applyBorder="1" applyAlignment="1" applyProtection="1">
      <alignment horizontal="center" vertical="center"/>
      <protection locked="0"/>
    </xf>
    <xf numFmtId="0" fontId="0" fillId="10" borderId="0" xfId="0" applyFill="1" applyBorder="1" applyAlignment="1" applyProtection="1">
      <alignment horizontal="center" vertical="center"/>
      <protection locked="0"/>
    </xf>
    <xf numFmtId="0" fontId="3" fillId="10" borderId="0" xfId="0" applyFont="1" applyFill="1" applyBorder="1" applyAlignment="1">
      <alignment vertical="center"/>
    </xf>
    <xf numFmtId="0" fontId="0" fillId="10" borderId="0" xfId="0" applyFill="1" applyBorder="1" applyAlignment="1">
      <alignment horizontal="center" vertical="center" wrapText="1"/>
    </xf>
    <xf numFmtId="0" fontId="0" fillId="7" borderId="0" xfId="0" applyFill="1" applyBorder="1" applyAlignment="1">
      <alignment vertical="center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0" xfId="0" applyFill="1" applyBorder="1" applyAlignment="1" applyProtection="1">
      <alignment vertical="center"/>
      <protection locked="0"/>
    </xf>
    <xf numFmtId="0" fontId="0" fillId="7" borderId="1" xfId="0" applyFill="1" applyBorder="1" applyAlignment="1" applyProtection="1">
      <alignment vertical="center"/>
      <protection locked="0"/>
    </xf>
    <xf numFmtId="46" fontId="0" fillId="7" borderId="1" xfId="0" applyNumberFormat="1" applyFill="1" applyBorder="1" applyAlignment="1" applyProtection="1">
      <alignment vertical="center"/>
      <protection locked="0"/>
    </xf>
    <xf numFmtId="166" fontId="1" fillId="7" borderId="1" xfId="0" applyNumberFormat="1" applyFont="1" applyFill="1" applyBorder="1" applyAlignment="1" applyProtection="1">
      <alignment vertical="center"/>
      <protection locked="0"/>
    </xf>
    <xf numFmtId="166" fontId="0" fillId="7" borderId="1" xfId="0" applyNumberFormat="1" applyFill="1" applyBorder="1" applyAlignment="1" applyProtection="1">
      <alignment vertical="center"/>
      <protection locked="0"/>
    </xf>
    <xf numFmtId="0" fontId="0" fillId="10" borderId="1" xfId="0" applyFill="1" applyBorder="1" applyAlignment="1" applyProtection="1">
      <alignment vertical="center"/>
      <protection locked="0"/>
    </xf>
    <xf numFmtId="0" fontId="0" fillId="10" borderId="1" xfId="0" applyFill="1" applyBorder="1" applyAlignment="1">
      <alignment vertical="center"/>
    </xf>
    <xf numFmtId="166" fontId="0" fillId="10" borderId="1" xfId="0" applyNumberFormat="1" applyFill="1" applyBorder="1" applyAlignment="1" applyProtection="1">
      <alignment vertical="center"/>
      <protection locked="0"/>
    </xf>
    <xf numFmtId="165" fontId="0" fillId="10" borderId="1" xfId="0" applyNumberFormat="1" applyFill="1" applyBorder="1" applyAlignment="1" applyProtection="1">
      <alignment vertical="center"/>
      <protection locked="0"/>
    </xf>
    <xf numFmtId="0" fontId="2" fillId="10" borderId="16" xfId="0" applyFont="1" applyFill="1" applyAlignment="1" applyProtection="1">
      <alignment horizontal="center" vertical="center" wrapText="1"/>
      <protection locked="0"/>
    </xf>
    <xf numFmtId="168" fontId="22" fillId="7" borderId="0" xfId="0" applyNumberFormat="1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0" xfId="0" applyFont="1" applyBorder="1"/>
    <xf numFmtId="0" fontId="0" fillId="7" borderId="14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6" fillId="8" borderId="14" xfId="0" applyFont="1" applyFill="1" applyBorder="1" applyAlignment="1">
      <alignment horizontal="center" vertical="center" wrapText="1"/>
    </xf>
    <xf numFmtId="0" fontId="26" fillId="8" borderId="2" xfId="0" applyFont="1" applyFill="1" applyBorder="1" applyAlignment="1">
      <alignment horizontal="center" vertical="center" wrapText="1"/>
    </xf>
    <xf numFmtId="0" fontId="18" fillId="8" borderId="16" xfId="0" applyFont="1" applyFill="1" applyAlignment="1">
      <alignment horizontal="center" vertical="center"/>
    </xf>
    <xf numFmtId="0" fontId="19" fillId="7" borderId="16" xfId="0" applyFont="1" applyFill="1" applyAlignment="1">
      <alignment horizontal="center" vertical="center"/>
    </xf>
    <xf numFmtId="0" fontId="28" fillId="8" borderId="0" xfId="0" applyFont="1" applyFill="1" applyBorder="1" applyAlignment="1">
      <alignment horizontal="center" vertical="center"/>
    </xf>
    <xf numFmtId="0" fontId="3" fillId="7" borderId="16" xfId="0" applyFont="1" applyFill="1" applyAlignment="1">
      <alignment horizontal="center" vertical="center"/>
    </xf>
    <xf numFmtId="0" fontId="0" fillId="0" borderId="16" xfId="0" applyAlignment="1">
      <alignment horizontal="center" vertical="center" wrapText="1"/>
    </xf>
    <xf numFmtId="0" fontId="0" fillId="0" borderId="16" xfId="0"/>
    <xf numFmtId="0" fontId="2" fillId="7" borderId="16" xfId="0" applyFont="1" applyFill="1" applyAlignment="1">
      <alignment horizontal="center" vertical="center" wrapText="1"/>
    </xf>
    <xf numFmtId="0" fontId="0" fillId="7" borderId="16" xfId="0" applyFill="1"/>
    <xf numFmtId="0" fontId="1" fillId="7" borderId="16" xfId="0" applyFont="1" applyFill="1" applyAlignment="1">
      <alignment horizontal="center" vertical="center" wrapText="1"/>
    </xf>
    <xf numFmtId="0" fontId="1" fillId="0" borderId="16" xfId="0" applyFont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 wrapText="1"/>
    </xf>
    <xf numFmtId="0" fontId="0" fillId="7" borderId="18" xfId="0" applyFill="1" applyBorder="1"/>
    <xf numFmtId="0" fontId="2" fillId="7" borderId="17" xfId="0" applyFont="1" applyFill="1" applyBorder="1" applyAlignment="1">
      <alignment horizontal="center" vertical="center" wrapText="1"/>
    </xf>
    <xf numFmtId="0" fontId="0" fillId="7" borderId="17" xfId="0" applyFill="1" applyBorder="1"/>
    <xf numFmtId="0" fontId="5" fillId="0" borderId="16" xfId="0" applyFont="1" applyAlignment="1">
      <alignment horizontal="center" vertical="center"/>
    </xf>
    <xf numFmtId="0" fontId="12" fillId="5" borderId="16" xfId="0" applyFont="1" applyFill="1" applyAlignment="1">
      <alignment horizontal="center" vertical="center"/>
    </xf>
    <xf numFmtId="0" fontId="6" fillId="0" borderId="16" xfId="0" applyFont="1" applyAlignment="1">
      <alignment horizontal="center" vertical="center"/>
    </xf>
    <xf numFmtId="0" fontId="12" fillId="5" borderId="16" xfId="0" applyFont="1" applyFill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16" xfId="0" applyProtection="1">
      <protection locked="0"/>
    </xf>
    <xf numFmtId="0" fontId="0" fillId="0" borderId="6" xfId="0" applyBorder="1" applyProtection="1">
      <protection locked="0"/>
    </xf>
    <xf numFmtId="0" fontId="21" fillId="0" borderId="16" xfId="0" applyFont="1" applyAlignment="1">
      <alignment horizontal="center" vertical="center" wrapText="1"/>
    </xf>
    <xf numFmtId="0" fontId="21" fillId="0" borderId="16" xfId="0" applyFont="1"/>
    <xf numFmtId="0" fontId="1" fillId="0" borderId="16" xfId="0" applyFont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0" borderId="16" xfId="0" applyFont="1" applyAlignment="1" applyProtection="1">
      <alignment horizontal="left" vertical="center" wrapText="1"/>
      <protection locked="0"/>
    </xf>
    <xf numFmtId="0" fontId="21" fillId="0" borderId="0" xfId="0" applyFont="1" applyBorder="1" applyAlignment="1">
      <alignment vertical="center"/>
    </xf>
    <xf numFmtId="0" fontId="9" fillId="5" borderId="16" xfId="0" applyFont="1" applyFill="1" applyAlignment="1">
      <alignment horizontal="center" vertical="center"/>
    </xf>
    <xf numFmtId="166" fontId="9" fillId="5" borderId="16" xfId="0" applyNumberFormat="1" applyFont="1" applyFill="1" applyAlignment="1">
      <alignment horizontal="center" vertical="center" wrapText="1"/>
    </xf>
    <xf numFmtId="0" fontId="9" fillId="5" borderId="16" xfId="0" applyFont="1" applyFill="1" applyAlignment="1">
      <alignment horizontal="center" vertical="center" wrapText="1"/>
    </xf>
    <xf numFmtId="0" fontId="29" fillId="7" borderId="16" xfId="1" applyFont="1" applyFill="1" applyAlignment="1">
      <alignment horizontal="center" vertical="center"/>
    </xf>
    <xf numFmtId="0" fontId="21" fillId="7" borderId="16" xfId="0" applyFont="1" applyFill="1"/>
    <xf numFmtId="0" fontId="0" fillId="0" borderId="13" xfId="0" applyBorder="1" applyAlignment="1">
      <alignment horizontal="center" vertical="center" wrapText="1"/>
    </xf>
    <xf numFmtId="0" fontId="0" fillId="0" borderId="10" xfId="0" applyBorder="1"/>
    <xf numFmtId="0" fontId="0" fillId="0" borderId="13" xfId="0" applyBorder="1"/>
    <xf numFmtId="0" fontId="0" fillId="0" borderId="5" xfId="0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/>
    <xf numFmtId="0" fontId="0" fillId="0" borderId="6" xfId="0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6" fontId="1" fillId="0" borderId="6" xfId="0" applyNumberFormat="1" applyFont="1" applyBorder="1" applyAlignment="1">
      <alignment horizontal="center" vertical="center" wrapText="1"/>
    </xf>
    <xf numFmtId="0" fontId="7" fillId="0" borderId="16" xfId="0" applyFont="1" applyAlignment="1">
      <alignment horizontal="left" vertical="center" wrapText="1"/>
    </xf>
    <xf numFmtId="0" fontId="7" fillId="0" borderId="16" xfId="0" applyFont="1" applyAlignment="1">
      <alignment horizontal="center" vertical="center" wrapText="1"/>
    </xf>
  </cellXfs>
  <cellStyles count="2">
    <cellStyle name="20 % - Farve6" xfId="1" xr:uid="{00000000-0005-0000-0000-000001000000}"/>
    <cellStyle name="Normal" xfId="0" builtinId="0"/>
  </cellStyles>
  <dxfs count="2">
    <dxf>
      <fill>
        <patternFill patternType="solid">
          <fgColor rgb="FFF4CCCC"/>
        </patternFill>
      </fill>
    </dxf>
    <dxf>
      <fill>
        <patternFill patternType="solid">
          <fgColor rgb="FFF4CCCC"/>
        </patternFill>
      </fill>
    </dxf>
  </dxfs>
  <tableStyles count="0" defaultTableStyle="TableStyleMedium2" defaultPivotStyle="PivotStyleLight16"/>
  <colors>
    <mruColors>
      <color rgb="FFDCE6F1"/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5327</xdr:colOff>
      <xdr:row>0</xdr:row>
      <xdr:rowOff>0</xdr:rowOff>
    </xdr:from>
    <xdr:to>
      <xdr:col>1</xdr:col>
      <xdr:colOff>37270</xdr:colOff>
      <xdr:row>2</xdr:row>
      <xdr:rowOff>146586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7" y="0"/>
          <a:ext cx="514543" cy="5040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10</xdr:col>
      <xdr:colOff>266173</xdr:colOff>
      <xdr:row>0</xdr:row>
      <xdr:rowOff>0</xdr:rowOff>
    </xdr:from>
    <xdr:to>
      <xdr:col>11</xdr:col>
      <xdr:colOff>425</xdr:colOff>
      <xdr:row>2</xdr:row>
      <xdr:rowOff>146586</xdr:rowOff>
    </xdr:to>
    <xdr:pic>
      <xdr:nvPicPr>
        <xdr:cNvPr id="3" name="/xl/media/image2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97423" y="0"/>
          <a:ext cx="705802" cy="5040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100576</xdr:colOff>
      <xdr:row>0</xdr:row>
      <xdr:rowOff>88553</xdr:rowOff>
    </xdr:from>
    <xdr:to>
      <xdr:col>0</xdr:col>
      <xdr:colOff>643382</xdr:colOff>
      <xdr:row>2</xdr:row>
      <xdr:rowOff>63500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576" y="88553"/>
          <a:ext cx="542806" cy="52104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469371</xdr:colOff>
      <xdr:row>0</xdr:row>
      <xdr:rowOff>109482</xdr:rowOff>
    </xdr:from>
    <xdr:to>
      <xdr:col>3</xdr:col>
      <xdr:colOff>1217439</xdr:colOff>
      <xdr:row>2</xdr:row>
      <xdr:rowOff>107950</xdr:rowOff>
    </xdr:to>
    <xdr:pic>
      <xdr:nvPicPr>
        <xdr:cNvPr id="3" name="/xl/media/image2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17571" y="109482"/>
          <a:ext cx="748068" cy="544568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64800</xdr:colOff>
      <xdr:row>0</xdr:row>
      <xdr:rowOff>64800</xdr:rowOff>
    </xdr:from>
    <xdr:to>
      <xdr:col>1</xdr:col>
      <xdr:colOff>209308</xdr:colOff>
      <xdr:row>2</xdr:row>
      <xdr:rowOff>127000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00" y="64800"/>
          <a:ext cx="544558" cy="5321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492449</xdr:colOff>
      <xdr:row>0</xdr:row>
      <xdr:rowOff>64794</xdr:rowOff>
    </xdr:from>
    <xdr:to>
      <xdr:col>7</xdr:col>
      <xdr:colOff>375823</xdr:colOff>
      <xdr:row>2</xdr:row>
      <xdr:rowOff>139700</xdr:rowOff>
    </xdr:to>
    <xdr:pic>
      <xdr:nvPicPr>
        <xdr:cNvPr id="3" name="/xl/media/image2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58199" y="64794"/>
          <a:ext cx="746974" cy="544806"/>
        </a:xfrm>
        <a:prstGeom prst="rect">
          <a:avLst/>
        </a:prstGeom>
        <a:ln>
          <a:prstDash val="solid"/>
        </a:ln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showGridLines="0" zoomScale="70" zoomScaleNormal="70" workbookViewId="0">
      <selection activeCell="G11" sqref="G11"/>
    </sheetView>
  </sheetViews>
  <sheetFormatPr defaultRowHeight="14.5"/>
  <cols>
    <col min="1" max="1" width="16" style="4" customWidth="1"/>
    <col min="2" max="2" width="80.08984375" style="4" customWidth="1"/>
    <col min="3" max="3" width="2.1796875" style="1" customWidth="1"/>
    <col min="4" max="4" width="8.7265625" style="1" customWidth="1"/>
    <col min="5" max="16384" width="8.7265625" style="1"/>
  </cols>
  <sheetData>
    <row r="1" spans="1:4" s="4" customFormat="1" ht="23.5">
      <c r="A1" s="144" t="s">
        <v>0</v>
      </c>
      <c r="B1" s="144"/>
      <c r="C1" s="64"/>
      <c r="D1" s="64"/>
    </row>
    <row r="2" spans="1:4" s="99" customFormat="1" ht="23.5">
      <c r="A2" s="145" t="s">
        <v>88</v>
      </c>
      <c r="B2" s="145"/>
      <c r="C2" s="98"/>
      <c r="D2" s="98"/>
    </row>
    <row r="3" spans="1:4" ht="9.5" customHeight="1">
      <c r="A3" s="64"/>
      <c r="B3" s="64"/>
      <c r="C3" s="64"/>
      <c r="D3" s="64"/>
    </row>
    <row r="4" spans="1:4" s="100" customFormat="1">
      <c r="A4" s="101" t="s">
        <v>89</v>
      </c>
      <c r="B4" s="103">
        <v>46211</v>
      </c>
      <c r="C4" s="64"/>
      <c r="D4" s="64"/>
    </row>
    <row r="5" spans="1:4" s="100" customFormat="1">
      <c r="A5" s="101" t="s">
        <v>90</v>
      </c>
      <c r="B5" s="102" t="s">
        <v>2</v>
      </c>
      <c r="C5" s="64"/>
      <c r="D5" s="64"/>
    </row>
    <row r="6" spans="1:4" s="100" customFormat="1">
      <c r="A6" s="101" t="s">
        <v>91</v>
      </c>
      <c r="B6" s="102" t="s">
        <v>3</v>
      </c>
      <c r="C6" s="64"/>
      <c r="D6" s="64"/>
    </row>
    <row r="7" spans="1:4" s="100" customFormat="1" ht="7.5" customHeight="1">
      <c r="A7" s="64"/>
      <c r="B7" s="64"/>
      <c r="C7" s="64"/>
      <c r="D7" s="64"/>
    </row>
    <row r="8" spans="1:4" s="100" customFormat="1">
      <c r="A8" s="142" t="s">
        <v>92</v>
      </c>
      <c r="B8" s="143"/>
      <c r="C8" s="64"/>
      <c r="D8" s="64"/>
    </row>
    <row r="9" spans="1:4" s="100" customFormat="1" ht="7" customHeight="1">
      <c r="A9" s="137"/>
      <c r="B9" s="138"/>
      <c r="C9" s="64"/>
      <c r="D9" s="64"/>
    </row>
    <row r="10" spans="1:4" s="100" customFormat="1" ht="43.5">
      <c r="A10" s="139" t="s">
        <v>93</v>
      </c>
      <c r="B10" s="52" t="s">
        <v>94</v>
      </c>
      <c r="C10" s="64"/>
      <c r="D10" s="64"/>
    </row>
    <row r="11" spans="1:4" ht="29">
      <c r="A11" s="141"/>
      <c r="B11" s="104" t="s">
        <v>95</v>
      </c>
      <c r="C11" s="65"/>
      <c r="D11" s="65"/>
    </row>
    <row r="12" spans="1:4" s="100" customFormat="1" ht="7" customHeight="1">
      <c r="A12" s="137"/>
      <c r="B12" s="138"/>
      <c r="C12" s="64"/>
      <c r="D12" s="64"/>
    </row>
    <row r="13" spans="1:4" ht="29">
      <c r="A13" s="139" t="s">
        <v>96</v>
      </c>
      <c r="B13" s="105" t="s">
        <v>97</v>
      </c>
      <c r="C13" s="65"/>
      <c r="D13" s="65"/>
    </row>
    <row r="14" spans="1:4" ht="29">
      <c r="A14" s="141"/>
      <c r="B14" s="106" t="s">
        <v>98</v>
      </c>
      <c r="C14" s="65"/>
      <c r="D14" s="65"/>
    </row>
    <row r="15" spans="1:4" s="100" customFormat="1" ht="7" customHeight="1">
      <c r="A15" s="137"/>
      <c r="B15" s="138"/>
      <c r="C15" s="64"/>
      <c r="D15" s="64"/>
    </row>
    <row r="16" spans="1:4">
      <c r="A16" s="139" t="s">
        <v>99</v>
      </c>
      <c r="B16" s="113" t="s">
        <v>114</v>
      </c>
      <c r="C16" s="65"/>
      <c r="D16" s="65"/>
    </row>
    <row r="17" spans="1:4" ht="43.5">
      <c r="A17" s="140"/>
      <c r="B17" s="108" t="s">
        <v>100</v>
      </c>
      <c r="C17" s="65"/>
      <c r="D17" s="65"/>
    </row>
    <row r="18" spans="1:4" ht="29">
      <c r="A18" s="141"/>
      <c r="B18" s="106" t="s">
        <v>101</v>
      </c>
    </row>
    <row r="19" spans="1:4" s="100" customFormat="1" ht="7" customHeight="1">
      <c r="A19" s="137"/>
      <c r="B19" s="138"/>
      <c r="C19" s="64"/>
      <c r="D19" s="64"/>
    </row>
    <row r="20" spans="1:4">
      <c r="A20" s="139" t="s">
        <v>102</v>
      </c>
      <c r="B20" s="113" t="s">
        <v>114</v>
      </c>
    </row>
    <row r="21" spans="1:4" ht="43.5">
      <c r="A21" s="140"/>
      <c r="B21" s="108" t="s">
        <v>103</v>
      </c>
    </row>
    <row r="22" spans="1:4" ht="29">
      <c r="A22" s="141"/>
      <c r="B22" s="106" t="s">
        <v>104</v>
      </c>
    </row>
    <row r="23" spans="1:4" s="100" customFormat="1" ht="7" customHeight="1">
      <c r="A23" s="137"/>
      <c r="B23" s="138"/>
      <c r="C23" s="64"/>
      <c r="D23" s="64"/>
    </row>
    <row r="24" spans="1:4" ht="29">
      <c r="A24" s="107" t="s">
        <v>105</v>
      </c>
      <c r="B24" s="109" t="s">
        <v>106</v>
      </c>
    </row>
    <row r="25" spans="1:4" s="100" customFormat="1" ht="7" customHeight="1">
      <c r="A25" s="137"/>
      <c r="B25" s="138"/>
      <c r="C25" s="64"/>
      <c r="D25" s="64"/>
    </row>
    <row r="26" spans="1:4">
      <c r="A26" s="139" t="s">
        <v>107</v>
      </c>
      <c r="B26" s="113" t="s">
        <v>114</v>
      </c>
    </row>
    <row r="27" spans="1:4" ht="43.5">
      <c r="A27" s="140"/>
      <c r="B27" s="110" t="s">
        <v>108</v>
      </c>
    </row>
    <row r="28" spans="1:4">
      <c r="A28" s="140"/>
      <c r="B28" s="110" t="s">
        <v>109</v>
      </c>
    </row>
    <row r="29" spans="1:4" ht="29">
      <c r="A29" s="140"/>
      <c r="B29" s="110" t="s">
        <v>110</v>
      </c>
    </row>
    <row r="30" spans="1:4" ht="29">
      <c r="A30" s="141"/>
      <c r="B30" s="106" t="s">
        <v>111</v>
      </c>
    </row>
    <row r="31" spans="1:4" s="100" customFormat="1" ht="7" customHeight="1">
      <c r="A31" s="137"/>
      <c r="B31" s="138"/>
      <c r="C31" s="64"/>
      <c r="D31" s="64"/>
    </row>
    <row r="32" spans="1:4" ht="29">
      <c r="A32" s="111" t="s">
        <v>112</v>
      </c>
      <c r="B32" s="112" t="s">
        <v>113</v>
      </c>
    </row>
  </sheetData>
  <mergeCells count="15">
    <mergeCell ref="A1:B1"/>
    <mergeCell ref="A2:B2"/>
    <mergeCell ref="A10:A11"/>
    <mergeCell ref="A13:A14"/>
    <mergeCell ref="A16:A18"/>
    <mergeCell ref="A31:B31"/>
    <mergeCell ref="A26:A30"/>
    <mergeCell ref="A8:B8"/>
    <mergeCell ref="A9:B9"/>
    <mergeCell ref="A12:B12"/>
    <mergeCell ref="A15:B15"/>
    <mergeCell ref="A19:B19"/>
    <mergeCell ref="A23:B23"/>
    <mergeCell ref="A25:B25"/>
    <mergeCell ref="A20:A22"/>
  </mergeCells>
  <pageMargins left="0.35433070866141736" right="0.35433070866141736" top="0.55118110236220474" bottom="0.55118110236220474" header="0.23622047244094491" footer="0.23622047244094491"/>
  <pageSetup paperSize="9" fitToHeight="0" orientation="portrait" r:id="rId1"/>
  <headerFooter>
    <oddFooter>&amp;LArrangør dokument v 5.0 Classic&amp;C&amp;D&amp;RSide &amp;P af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7"/>
  <sheetViews>
    <sheetView tabSelected="1" zoomScale="70" zoomScaleNormal="70" workbookViewId="0">
      <selection activeCell="J24" sqref="J24"/>
    </sheetView>
  </sheetViews>
  <sheetFormatPr defaultColWidth="8.6328125" defaultRowHeight="14.5"/>
  <cols>
    <col min="1" max="1" width="8.6328125" style="3" customWidth="1"/>
    <col min="2" max="2" width="31.08984375" style="1" customWidth="1"/>
    <col min="3" max="3" width="7.08984375" style="1" customWidth="1"/>
    <col min="4" max="4" width="10" style="1" customWidth="1"/>
    <col min="5" max="6" width="10" customWidth="1"/>
    <col min="7" max="7" width="10" style="1" customWidth="1"/>
    <col min="8" max="9" width="10" customWidth="1"/>
    <col min="10" max="10" width="9.453125" style="1" customWidth="1"/>
    <col min="11" max="13" width="10" style="1" customWidth="1"/>
    <col min="14" max="14" width="12.6328125" style="1" customWidth="1"/>
    <col min="15" max="15" width="13.36328125" style="1" customWidth="1"/>
    <col min="16" max="17" width="20.81640625" style="1" customWidth="1"/>
    <col min="18" max="18" width="8.6328125" style="1" customWidth="1"/>
    <col min="19" max="19" width="7.7265625" style="1" customWidth="1"/>
    <col min="20" max="20" width="3.26953125" style="1" customWidth="1"/>
    <col min="21" max="21" width="8.6328125" style="1" customWidth="1"/>
    <col min="22" max="16384" width="8.6328125" style="1"/>
  </cols>
  <sheetData>
    <row r="1" spans="1:21" ht="18.5" customHeight="1">
      <c r="A1" s="146" t="s">
        <v>115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</row>
    <row r="2" spans="1:21" ht="18.5" customHeight="1">
      <c r="B2" s="2"/>
      <c r="C2" s="2"/>
      <c r="D2" s="147" t="s">
        <v>4</v>
      </c>
      <c r="E2" s="147"/>
      <c r="F2" s="147"/>
      <c r="G2" s="147"/>
      <c r="H2" s="147"/>
      <c r="I2" s="147"/>
      <c r="J2" s="147"/>
      <c r="K2" s="154" t="s">
        <v>5</v>
      </c>
      <c r="L2" s="151"/>
      <c r="M2" s="151"/>
      <c r="N2" s="151"/>
      <c r="O2" s="2"/>
      <c r="P2" s="2"/>
      <c r="Q2" s="2"/>
      <c r="R2" s="2"/>
      <c r="S2" s="2"/>
      <c r="T2" s="121"/>
      <c r="U2" s="2"/>
    </row>
    <row r="3" spans="1:21" s="4" customFormat="1">
      <c r="A3" s="148" t="s">
        <v>6</v>
      </c>
      <c r="B3" s="148" t="s">
        <v>7</v>
      </c>
      <c r="C3" s="148" t="s">
        <v>8</v>
      </c>
      <c r="D3" s="150" t="s">
        <v>9</v>
      </c>
      <c r="E3" s="150" t="s">
        <v>10</v>
      </c>
      <c r="F3" s="150" t="s">
        <v>11</v>
      </c>
      <c r="G3" s="150" t="s">
        <v>12</v>
      </c>
      <c r="H3" s="150" t="s">
        <v>13</v>
      </c>
      <c r="I3" s="150" t="s">
        <v>14</v>
      </c>
      <c r="J3" s="155" t="s">
        <v>15</v>
      </c>
      <c r="K3" s="157" t="s">
        <v>16</v>
      </c>
      <c r="L3" s="150" t="s">
        <v>17</v>
      </c>
      <c r="M3" s="150" t="s">
        <v>18</v>
      </c>
      <c r="N3" s="152" t="s">
        <v>15</v>
      </c>
      <c r="O3" s="153" t="s">
        <v>19</v>
      </c>
      <c r="P3" s="148" t="s">
        <v>20</v>
      </c>
      <c r="Q3" s="153" t="s">
        <v>21</v>
      </c>
      <c r="R3" s="148" t="s">
        <v>22</v>
      </c>
      <c r="S3" s="153" t="s">
        <v>23</v>
      </c>
      <c r="T3" s="122"/>
      <c r="U3" s="148" t="s">
        <v>24</v>
      </c>
    </row>
    <row r="4" spans="1:21" s="4" customFormat="1">
      <c r="A4" s="149"/>
      <c r="B4" s="149"/>
      <c r="C4" s="149"/>
      <c r="D4" s="151"/>
      <c r="E4" s="151"/>
      <c r="F4" s="151"/>
      <c r="G4" s="151"/>
      <c r="H4" s="151"/>
      <c r="I4" s="151"/>
      <c r="J4" s="156"/>
      <c r="K4" s="158"/>
      <c r="L4" s="151"/>
      <c r="M4" s="151"/>
      <c r="N4" s="151"/>
      <c r="O4" s="149"/>
      <c r="P4" s="149"/>
      <c r="Q4" s="149"/>
      <c r="R4" s="149"/>
      <c r="S4" s="149"/>
      <c r="T4" s="122"/>
      <c r="U4" s="149"/>
    </row>
    <row r="5" spans="1:21" s="4" customFormat="1">
      <c r="A5" s="114" t="s">
        <v>25</v>
      </c>
      <c r="B5" s="115"/>
      <c r="C5" s="116"/>
      <c r="D5" s="117"/>
      <c r="E5" s="117"/>
      <c r="F5" s="117"/>
      <c r="G5" s="117"/>
      <c r="H5" s="117"/>
      <c r="I5" s="117"/>
      <c r="J5" s="117"/>
      <c r="K5" s="134"/>
      <c r="L5" s="134"/>
      <c r="M5" s="134"/>
      <c r="N5" s="134"/>
      <c r="O5" s="116"/>
      <c r="P5" s="116"/>
      <c r="Q5" s="116"/>
      <c r="R5" s="116"/>
      <c r="S5" s="116"/>
      <c r="T5" s="116"/>
      <c r="U5" s="116"/>
    </row>
    <row r="6" spans="1:21">
      <c r="A6" s="67"/>
      <c r="B6" s="68"/>
      <c r="C6" s="68"/>
      <c r="D6" s="135" t="b">
        <v>0</v>
      </c>
      <c r="E6" s="135" t="b">
        <v>0</v>
      </c>
      <c r="F6" s="135" t="b">
        <v>0</v>
      </c>
      <c r="G6" s="135" t="b">
        <v>0</v>
      </c>
      <c r="H6" s="135" t="b">
        <v>0</v>
      </c>
      <c r="I6" s="135" t="b">
        <v>0</v>
      </c>
      <c r="J6" s="1" t="str">
        <f t="shared" ref="J6:J25" si="0">IF(D6,"8 km/t",IF(E6,"9 km/t",IF(F6,"10 km/t",IF(G6,"11 km/t",IF(H6,"12 km/t",IF(I6,"13 km/t",""))))))</f>
        <v/>
      </c>
      <c r="K6" s="135" t="b">
        <v>0</v>
      </c>
      <c r="L6" s="135" t="b">
        <v>0</v>
      </c>
      <c r="M6" s="135" t="b">
        <v>0</v>
      </c>
      <c r="N6" s="1" t="str">
        <f t="shared" ref="N6:N25" si="1">IF(K6,"150 meter/min",IF(L6,"180 meter/min",IF(M6,"200 meter/min","")))</f>
        <v/>
      </c>
      <c r="O6" s="68"/>
      <c r="P6" s="69"/>
      <c r="Q6" s="68"/>
      <c r="R6" s="70"/>
      <c r="S6" s="70"/>
      <c r="T6" s="115"/>
      <c r="U6" s="1">
        <f t="shared" ref="U6:U25" si="2">IF(S6&lt;40,R6+30,IF(AND(S6&gt;=40,S6&lt;=59),R6+35,IF(AND(S6&gt;=60,S6&lt;=89),R6+40,IF(S6&lt;=90,R6+45,IF(S6="Winchester",230,IF(S6="Winchester tunge heste",250,"FEJL"))))))</f>
        <v>30</v>
      </c>
    </row>
    <row r="7" spans="1:21">
      <c r="A7" s="66"/>
      <c r="B7" s="66"/>
      <c r="C7" s="66"/>
      <c r="D7" s="135" t="b">
        <v>0</v>
      </c>
      <c r="E7" s="135" t="b">
        <v>0</v>
      </c>
      <c r="F7" s="135" t="b">
        <v>0</v>
      </c>
      <c r="G7" s="135" t="b">
        <v>0</v>
      </c>
      <c r="H7" s="135" t="b">
        <v>0</v>
      </c>
      <c r="I7" s="135" t="b">
        <v>0</v>
      </c>
      <c r="J7" s="1" t="str">
        <f t="shared" si="0"/>
        <v/>
      </c>
      <c r="K7" s="135" t="b">
        <v>0</v>
      </c>
      <c r="L7" s="135" t="b">
        <v>0</v>
      </c>
      <c r="M7" s="135" t="b">
        <v>0</v>
      </c>
      <c r="N7" s="1" t="str">
        <f t="shared" si="1"/>
        <v/>
      </c>
      <c r="O7" s="66"/>
      <c r="P7" s="66"/>
      <c r="Q7" s="66"/>
      <c r="R7" s="66"/>
      <c r="S7" s="66"/>
      <c r="T7" s="115"/>
      <c r="U7" s="1">
        <f t="shared" si="2"/>
        <v>30</v>
      </c>
    </row>
    <row r="8" spans="1:21">
      <c r="A8" s="66"/>
      <c r="B8" s="66"/>
      <c r="C8" s="66"/>
      <c r="D8" s="135" t="b">
        <v>0</v>
      </c>
      <c r="E8" s="135" t="b">
        <v>0</v>
      </c>
      <c r="F8" s="135" t="b">
        <v>0</v>
      </c>
      <c r="G8" s="135" t="b">
        <v>0</v>
      </c>
      <c r="H8" s="135" t="b">
        <v>0</v>
      </c>
      <c r="I8" s="135" t="b">
        <v>0</v>
      </c>
      <c r="J8" s="1" t="str">
        <f t="shared" si="0"/>
        <v/>
      </c>
      <c r="K8" s="135" t="b">
        <v>0</v>
      </c>
      <c r="L8" s="135" t="b">
        <v>0</v>
      </c>
      <c r="M8" s="135" t="b">
        <v>0</v>
      </c>
      <c r="N8" s="1" t="str">
        <f t="shared" si="1"/>
        <v/>
      </c>
      <c r="O8" s="66"/>
      <c r="P8" s="66"/>
      <c r="Q8" s="66"/>
      <c r="R8" s="66"/>
      <c r="S8" s="66"/>
      <c r="T8" s="115"/>
      <c r="U8" s="1">
        <f t="shared" si="2"/>
        <v>30</v>
      </c>
    </row>
    <row r="9" spans="1:21">
      <c r="A9" s="66"/>
      <c r="B9" s="66"/>
      <c r="C9" s="66"/>
      <c r="D9" s="135" t="b">
        <v>0</v>
      </c>
      <c r="E9" s="135" t="b">
        <v>0</v>
      </c>
      <c r="F9" s="135" t="b">
        <v>0</v>
      </c>
      <c r="G9" s="135" t="b">
        <v>0</v>
      </c>
      <c r="H9" s="135" t="b">
        <v>0</v>
      </c>
      <c r="I9" s="135" t="b">
        <v>0</v>
      </c>
      <c r="J9" s="1" t="str">
        <f t="shared" si="0"/>
        <v/>
      </c>
      <c r="K9" s="135" t="b">
        <v>0</v>
      </c>
      <c r="L9" s="135" t="b">
        <v>0</v>
      </c>
      <c r="M9" s="135" t="b">
        <v>0</v>
      </c>
      <c r="N9" s="1" t="str">
        <f t="shared" si="1"/>
        <v/>
      </c>
      <c r="O9" s="66"/>
      <c r="P9" s="66"/>
      <c r="Q9" s="66"/>
      <c r="R9" s="66"/>
      <c r="S9" s="66"/>
      <c r="T9" s="115"/>
      <c r="U9" s="1">
        <f t="shared" si="2"/>
        <v>30</v>
      </c>
    </row>
    <row r="10" spans="1:21">
      <c r="A10" s="66"/>
      <c r="B10" s="66"/>
      <c r="C10" s="66"/>
      <c r="D10" s="135" t="b">
        <v>0</v>
      </c>
      <c r="E10" s="135" t="b">
        <v>0</v>
      </c>
      <c r="F10" s="135" t="b">
        <v>0</v>
      </c>
      <c r="G10" s="135" t="b">
        <v>0</v>
      </c>
      <c r="H10" s="135" t="b">
        <v>0</v>
      </c>
      <c r="I10" s="135" t="b">
        <v>0</v>
      </c>
      <c r="J10" s="1" t="str">
        <f t="shared" si="0"/>
        <v/>
      </c>
      <c r="K10" s="135" t="b">
        <v>0</v>
      </c>
      <c r="L10" s="135" t="b">
        <v>0</v>
      </c>
      <c r="M10" s="135" t="b">
        <v>0</v>
      </c>
      <c r="N10" s="1" t="str">
        <f t="shared" si="1"/>
        <v/>
      </c>
      <c r="O10" s="66"/>
      <c r="P10" s="66"/>
      <c r="Q10" s="66"/>
      <c r="R10" s="66"/>
      <c r="S10" s="66"/>
      <c r="T10" s="115"/>
      <c r="U10" s="1">
        <f t="shared" si="2"/>
        <v>30</v>
      </c>
    </row>
    <row r="11" spans="1:21">
      <c r="A11" s="66"/>
      <c r="B11" s="66"/>
      <c r="C11" s="66"/>
      <c r="D11" s="135" t="b">
        <v>0</v>
      </c>
      <c r="E11" s="135" t="b">
        <v>0</v>
      </c>
      <c r="F11" s="135" t="b">
        <v>0</v>
      </c>
      <c r="G11" s="135" t="b">
        <v>0</v>
      </c>
      <c r="H11" s="135" t="b">
        <v>0</v>
      </c>
      <c r="I11" s="135" t="b">
        <v>0</v>
      </c>
      <c r="J11" s="1" t="str">
        <f t="shared" si="0"/>
        <v/>
      </c>
      <c r="K11" s="135" t="b">
        <v>0</v>
      </c>
      <c r="L11" s="135" t="b">
        <v>0</v>
      </c>
      <c r="M11" s="135" t="b">
        <v>0</v>
      </c>
      <c r="N11" s="1" t="str">
        <f t="shared" si="1"/>
        <v/>
      </c>
      <c r="O11" s="66"/>
      <c r="P11" s="66"/>
      <c r="Q11" s="66"/>
      <c r="R11" s="66"/>
      <c r="S11" s="66"/>
      <c r="T11" s="115"/>
      <c r="U11" s="1">
        <f t="shared" si="2"/>
        <v>30</v>
      </c>
    </row>
    <row r="12" spans="1:21">
      <c r="A12" s="66"/>
      <c r="B12" s="66"/>
      <c r="C12" s="66"/>
      <c r="D12" s="135" t="b">
        <v>0</v>
      </c>
      <c r="E12" s="135" t="b">
        <v>0</v>
      </c>
      <c r="F12" s="135" t="b">
        <v>0</v>
      </c>
      <c r="G12" s="135" t="b">
        <v>0</v>
      </c>
      <c r="H12" s="135" t="b">
        <v>0</v>
      </c>
      <c r="I12" s="135" t="b">
        <v>0</v>
      </c>
      <c r="J12" s="1" t="str">
        <f t="shared" si="0"/>
        <v/>
      </c>
      <c r="K12" s="135" t="b">
        <v>0</v>
      </c>
      <c r="L12" s="135" t="b">
        <v>0</v>
      </c>
      <c r="M12" s="135" t="b">
        <v>0</v>
      </c>
      <c r="N12" s="1" t="str">
        <f t="shared" si="1"/>
        <v/>
      </c>
      <c r="O12" s="66"/>
      <c r="P12" s="66"/>
      <c r="Q12" s="66"/>
      <c r="R12" s="66"/>
      <c r="S12" s="66"/>
      <c r="T12" s="115"/>
      <c r="U12" s="1">
        <f t="shared" si="2"/>
        <v>30</v>
      </c>
    </row>
    <row r="13" spans="1:21">
      <c r="A13" s="66"/>
      <c r="B13" s="66"/>
      <c r="C13" s="66"/>
      <c r="D13" s="135" t="b">
        <v>0</v>
      </c>
      <c r="E13" s="135" t="b">
        <v>0</v>
      </c>
      <c r="F13" s="135" t="b">
        <v>0</v>
      </c>
      <c r="G13" s="135" t="b">
        <v>0</v>
      </c>
      <c r="H13" s="135" t="b">
        <v>0</v>
      </c>
      <c r="I13" s="135" t="b">
        <v>0</v>
      </c>
      <c r="J13" s="1" t="str">
        <f t="shared" si="0"/>
        <v/>
      </c>
      <c r="K13" s="135" t="b">
        <v>0</v>
      </c>
      <c r="L13" s="135" t="b">
        <v>0</v>
      </c>
      <c r="M13" s="135" t="b">
        <v>0</v>
      </c>
      <c r="N13" s="1" t="str">
        <f t="shared" si="1"/>
        <v/>
      </c>
      <c r="O13" s="66"/>
      <c r="P13" s="66"/>
      <c r="Q13" s="66"/>
      <c r="R13" s="66"/>
      <c r="S13" s="66"/>
      <c r="T13" s="115"/>
      <c r="U13" s="1">
        <f t="shared" si="2"/>
        <v>30</v>
      </c>
    </row>
    <row r="14" spans="1:21">
      <c r="A14" s="66"/>
      <c r="B14" s="66"/>
      <c r="C14" s="66"/>
      <c r="D14" s="135" t="b">
        <v>0</v>
      </c>
      <c r="E14" s="135" t="b">
        <v>0</v>
      </c>
      <c r="F14" s="135" t="b">
        <v>0</v>
      </c>
      <c r="G14" s="135" t="b">
        <v>0</v>
      </c>
      <c r="H14" s="135" t="b">
        <v>0</v>
      </c>
      <c r="I14" s="135" t="b">
        <v>0</v>
      </c>
      <c r="J14" s="1" t="str">
        <f t="shared" si="0"/>
        <v/>
      </c>
      <c r="K14" s="135" t="b">
        <v>0</v>
      </c>
      <c r="L14" s="135" t="b">
        <v>0</v>
      </c>
      <c r="M14" s="135" t="b">
        <v>0</v>
      </c>
      <c r="N14" s="1" t="str">
        <f t="shared" si="1"/>
        <v/>
      </c>
      <c r="O14" s="66"/>
      <c r="P14" s="66"/>
      <c r="Q14" s="66"/>
      <c r="R14" s="66"/>
      <c r="S14" s="66"/>
      <c r="T14" s="115"/>
      <c r="U14" s="1">
        <f t="shared" si="2"/>
        <v>30</v>
      </c>
    </row>
    <row r="15" spans="1:21">
      <c r="A15" s="66"/>
      <c r="B15" s="66"/>
      <c r="C15" s="66"/>
      <c r="D15" s="135" t="b">
        <v>0</v>
      </c>
      <c r="E15" s="135" t="b">
        <v>0</v>
      </c>
      <c r="F15" s="135" t="b">
        <v>0</v>
      </c>
      <c r="G15" s="135" t="b">
        <v>0</v>
      </c>
      <c r="H15" s="135" t="b">
        <v>0</v>
      </c>
      <c r="I15" s="135" t="b">
        <v>0</v>
      </c>
      <c r="J15" s="1" t="str">
        <f t="shared" si="0"/>
        <v/>
      </c>
      <c r="K15" s="135" t="b">
        <v>0</v>
      </c>
      <c r="L15" s="135" t="b">
        <v>0</v>
      </c>
      <c r="M15" s="135" t="b">
        <v>0</v>
      </c>
      <c r="N15" s="1" t="str">
        <f t="shared" si="1"/>
        <v/>
      </c>
      <c r="O15" s="66"/>
      <c r="P15" s="66"/>
      <c r="Q15" s="66"/>
      <c r="R15" s="66"/>
      <c r="S15" s="66"/>
      <c r="T15" s="115"/>
      <c r="U15" s="1">
        <f t="shared" si="2"/>
        <v>30</v>
      </c>
    </row>
    <row r="16" spans="1:21">
      <c r="A16" s="66"/>
      <c r="B16" s="66"/>
      <c r="C16" s="66"/>
      <c r="D16" s="135" t="b">
        <v>0</v>
      </c>
      <c r="E16" s="135" t="b">
        <v>0</v>
      </c>
      <c r="F16" s="135" t="b">
        <v>0</v>
      </c>
      <c r="G16" s="135" t="b">
        <v>0</v>
      </c>
      <c r="H16" s="135" t="b">
        <v>0</v>
      </c>
      <c r="I16" s="135" t="b">
        <v>0</v>
      </c>
      <c r="J16" s="1" t="str">
        <f t="shared" si="0"/>
        <v/>
      </c>
      <c r="K16" s="135" t="b">
        <v>0</v>
      </c>
      <c r="L16" s="135" t="b">
        <v>0</v>
      </c>
      <c r="M16" s="135" t="b">
        <v>0</v>
      </c>
      <c r="N16" s="1" t="str">
        <f t="shared" si="1"/>
        <v/>
      </c>
      <c r="O16" s="66"/>
      <c r="P16" s="66"/>
      <c r="Q16" s="66"/>
      <c r="R16" s="66"/>
      <c r="S16" s="66"/>
      <c r="T16" s="115"/>
      <c r="U16" s="1">
        <f t="shared" si="2"/>
        <v>30</v>
      </c>
    </row>
    <row r="17" spans="1:21">
      <c r="A17" s="66"/>
      <c r="B17" s="66"/>
      <c r="C17" s="66"/>
      <c r="D17" s="135" t="b">
        <v>0</v>
      </c>
      <c r="E17" s="135" t="b">
        <v>0</v>
      </c>
      <c r="F17" s="135" t="b">
        <v>0</v>
      </c>
      <c r="G17" s="135" t="b">
        <v>0</v>
      </c>
      <c r="H17" s="135" t="b">
        <v>0</v>
      </c>
      <c r="I17" s="135" t="b">
        <v>0</v>
      </c>
      <c r="J17" s="1" t="str">
        <f t="shared" si="0"/>
        <v/>
      </c>
      <c r="K17" s="135" t="b">
        <v>0</v>
      </c>
      <c r="L17" s="135" t="b">
        <v>0</v>
      </c>
      <c r="M17" s="135" t="b">
        <v>0</v>
      </c>
      <c r="N17" s="1" t="str">
        <f t="shared" si="1"/>
        <v/>
      </c>
      <c r="O17" s="66"/>
      <c r="P17" s="66"/>
      <c r="Q17" s="66"/>
      <c r="R17" s="66"/>
      <c r="S17" s="66"/>
      <c r="T17" s="115"/>
      <c r="U17" s="1">
        <f t="shared" si="2"/>
        <v>30</v>
      </c>
    </row>
    <row r="18" spans="1:21">
      <c r="A18" s="66"/>
      <c r="B18" s="66"/>
      <c r="C18" s="66"/>
      <c r="D18" s="135" t="b">
        <v>0</v>
      </c>
      <c r="E18" s="135" t="b">
        <v>0</v>
      </c>
      <c r="F18" s="135" t="b">
        <v>0</v>
      </c>
      <c r="G18" s="135" t="b">
        <v>0</v>
      </c>
      <c r="H18" s="135" t="b">
        <v>0</v>
      </c>
      <c r="I18" s="135" t="b">
        <v>0</v>
      </c>
      <c r="J18" s="1" t="str">
        <f t="shared" si="0"/>
        <v/>
      </c>
      <c r="K18" s="135" t="b">
        <v>0</v>
      </c>
      <c r="L18" s="135" t="b">
        <v>0</v>
      </c>
      <c r="M18" s="135" t="b">
        <v>0</v>
      </c>
      <c r="N18" s="1" t="str">
        <f t="shared" si="1"/>
        <v/>
      </c>
      <c r="O18" s="66"/>
      <c r="P18" s="66"/>
      <c r="Q18" s="66"/>
      <c r="R18" s="66"/>
      <c r="S18" s="66"/>
      <c r="T18" s="115"/>
      <c r="U18" s="1">
        <f t="shared" si="2"/>
        <v>30</v>
      </c>
    </row>
    <row r="19" spans="1:21">
      <c r="A19" s="66"/>
      <c r="B19" s="66"/>
      <c r="C19" s="66"/>
      <c r="D19" s="135" t="b">
        <v>0</v>
      </c>
      <c r="E19" s="135" t="b">
        <v>0</v>
      </c>
      <c r="F19" s="135" t="b">
        <v>0</v>
      </c>
      <c r="G19" s="135" t="b">
        <v>0</v>
      </c>
      <c r="H19" s="135" t="b">
        <v>0</v>
      </c>
      <c r="I19" s="135" t="b">
        <v>0</v>
      </c>
      <c r="J19" s="1" t="str">
        <f t="shared" si="0"/>
        <v/>
      </c>
      <c r="K19" s="135" t="b">
        <v>0</v>
      </c>
      <c r="L19" s="135" t="b">
        <v>0</v>
      </c>
      <c r="M19" s="135" t="b">
        <v>0</v>
      </c>
      <c r="N19" s="1" t="str">
        <f t="shared" si="1"/>
        <v/>
      </c>
      <c r="O19" s="66"/>
      <c r="P19" s="66"/>
      <c r="Q19" s="66"/>
      <c r="R19" s="66"/>
      <c r="S19" s="66"/>
      <c r="T19" s="115"/>
      <c r="U19" s="1">
        <f t="shared" si="2"/>
        <v>30</v>
      </c>
    </row>
    <row r="20" spans="1:21">
      <c r="A20" s="66"/>
      <c r="B20" s="66"/>
      <c r="C20" s="66"/>
      <c r="D20" s="135" t="b">
        <v>0</v>
      </c>
      <c r="E20" s="135" t="b">
        <v>0</v>
      </c>
      <c r="F20" s="135" t="b">
        <v>0</v>
      </c>
      <c r="G20" s="135" t="b">
        <v>0</v>
      </c>
      <c r="H20" s="135" t="b">
        <v>0</v>
      </c>
      <c r="I20" s="135" t="b">
        <v>0</v>
      </c>
      <c r="J20" s="1" t="str">
        <f t="shared" si="0"/>
        <v/>
      </c>
      <c r="K20" s="135" t="b">
        <v>0</v>
      </c>
      <c r="L20" s="135" t="b">
        <v>0</v>
      </c>
      <c r="M20" s="135" t="b">
        <v>0</v>
      </c>
      <c r="N20" s="1" t="str">
        <f t="shared" si="1"/>
        <v/>
      </c>
      <c r="O20" s="66"/>
      <c r="P20" s="66"/>
      <c r="Q20" s="66"/>
      <c r="R20" s="66"/>
      <c r="S20" s="66"/>
      <c r="T20" s="115"/>
      <c r="U20" s="1">
        <f t="shared" si="2"/>
        <v>30</v>
      </c>
    </row>
    <row r="21" spans="1:21">
      <c r="A21" s="66"/>
      <c r="B21" s="66"/>
      <c r="C21" s="66"/>
      <c r="D21" s="135" t="b">
        <v>0</v>
      </c>
      <c r="E21" s="135" t="b">
        <v>0</v>
      </c>
      <c r="F21" s="135" t="b">
        <v>0</v>
      </c>
      <c r="G21" s="135" t="b">
        <v>0</v>
      </c>
      <c r="H21" s="135" t="b">
        <v>0</v>
      </c>
      <c r="I21" s="135" t="b">
        <v>0</v>
      </c>
      <c r="J21" s="1" t="str">
        <f t="shared" si="0"/>
        <v/>
      </c>
      <c r="K21" s="135" t="b">
        <v>0</v>
      </c>
      <c r="L21" s="135" t="b">
        <v>0</v>
      </c>
      <c r="M21" s="135" t="b">
        <v>0</v>
      </c>
      <c r="N21" s="1" t="str">
        <f t="shared" si="1"/>
        <v/>
      </c>
      <c r="O21" s="66"/>
      <c r="P21" s="66"/>
      <c r="Q21" s="66"/>
      <c r="R21" s="66"/>
      <c r="S21" s="66"/>
      <c r="T21" s="115"/>
      <c r="U21" s="1">
        <f t="shared" si="2"/>
        <v>30</v>
      </c>
    </row>
    <row r="22" spans="1:21">
      <c r="A22" s="66"/>
      <c r="B22" s="66"/>
      <c r="C22" s="66"/>
      <c r="D22" s="135" t="b">
        <v>0</v>
      </c>
      <c r="E22" s="135" t="b">
        <v>0</v>
      </c>
      <c r="F22" s="135" t="b">
        <v>0</v>
      </c>
      <c r="G22" s="135" t="b">
        <v>0</v>
      </c>
      <c r="H22" s="135" t="b">
        <v>0</v>
      </c>
      <c r="I22" s="135" t="b">
        <v>0</v>
      </c>
      <c r="J22" s="1" t="str">
        <f t="shared" si="0"/>
        <v/>
      </c>
      <c r="K22" s="135" t="b">
        <v>0</v>
      </c>
      <c r="L22" s="135" t="b">
        <v>0</v>
      </c>
      <c r="M22" s="135" t="b">
        <v>0</v>
      </c>
      <c r="N22" s="1" t="str">
        <f t="shared" si="1"/>
        <v/>
      </c>
      <c r="O22" s="66"/>
      <c r="P22" s="66"/>
      <c r="Q22" s="66"/>
      <c r="R22" s="66"/>
      <c r="S22" s="66"/>
      <c r="T22" s="115"/>
      <c r="U22" s="1">
        <f t="shared" si="2"/>
        <v>30</v>
      </c>
    </row>
    <row r="23" spans="1:21">
      <c r="A23" s="66"/>
      <c r="B23" s="66"/>
      <c r="C23" s="66"/>
      <c r="D23" s="135" t="b">
        <v>0</v>
      </c>
      <c r="E23" s="135" t="b">
        <v>0</v>
      </c>
      <c r="F23" s="135" t="b">
        <v>0</v>
      </c>
      <c r="G23" s="135" t="b">
        <v>0</v>
      </c>
      <c r="H23" s="135" t="b">
        <v>0</v>
      </c>
      <c r="I23" s="135" t="b">
        <v>0</v>
      </c>
      <c r="J23" s="1" t="str">
        <f t="shared" si="0"/>
        <v/>
      </c>
      <c r="K23" s="135" t="b">
        <v>0</v>
      </c>
      <c r="L23" s="135" t="b">
        <v>0</v>
      </c>
      <c r="M23" s="135" t="b">
        <v>0</v>
      </c>
      <c r="N23" s="1" t="str">
        <f t="shared" si="1"/>
        <v/>
      </c>
      <c r="O23" s="66"/>
      <c r="P23" s="66"/>
      <c r="Q23" s="66"/>
      <c r="R23" s="66"/>
      <c r="S23" s="66"/>
      <c r="T23" s="115"/>
      <c r="U23" s="1">
        <f t="shared" si="2"/>
        <v>30</v>
      </c>
    </row>
    <row r="24" spans="1:21">
      <c r="A24" s="66"/>
      <c r="B24" s="66"/>
      <c r="C24" s="66"/>
      <c r="D24" s="135" t="b">
        <v>0</v>
      </c>
      <c r="E24" s="135" t="b">
        <v>0</v>
      </c>
      <c r="F24" s="135" t="b">
        <v>0</v>
      </c>
      <c r="G24" s="135" t="b">
        <v>0</v>
      </c>
      <c r="H24" s="135" t="b">
        <v>0</v>
      </c>
      <c r="I24" s="135" t="b">
        <v>0</v>
      </c>
      <c r="J24" s="1" t="str">
        <f t="shared" si="0"/>
        <v/>
      </c>
      <c r="K24" s="135" t="b">
        <v>0</v>
      </c>
      <c r="L24" s="135" t="b">
        <v>0</v>
      </c>
      <c r="M24" s="135" t="b">
        <v>0</v>
      </c>
      <c r="N24" s="1" t="str">
        <f t="shared" si="1"/>
        <v/>
      </c>
      <c r="O24" s="66"/>
      <c r="P24" s="66"/>
      <c r="Q24" s="66"/>
      <c r="R24" s="66"/>
      <c r="S24" s="66"/>
      <c r="T24" s="115"/>
      <c r="U24" s="1">
        <f t="shared" si="2"/>
        <v>30</v>
      </c>
    </row>
    <row r="25" spans="1:21">
      <c r="A25" s="66"/>
      <c r="B25" s="66"/>
      <c r="C25" s="66"/>
      <c r="D25" s="135" t="b">
        <v>0</v>
      </c>
      <c r="E25" s="135" t="b">
        <v>0</v>
      </c>
      <c r="F25" s="135" t="b">
        <v>0</v>
      </c>
      <c r="G25" s="135" t="b">
        <v>0</v>
      </c>
      <c r="H25" s="135" t="b">
        <v>0</v>
      </c>
      <c r="I25" s="135" t="b">
        <v>0</v>
      </c>
      <c r="J25" s="1" t="str">
        <f t="shared" si="0"/>
        <v/>
      </c>
      <c r="K25" s="135" t="b">
        <v>0</v>
      </c>
      <c r="L25" s="135" t="b">
        <v>0</v>
      </c>
      <c r="M25" s="135" t="b">
        <v>0</v>
      </c>
      <c r="N25" s="1" t="str">
        <f t="shared" si="1"/>
        <v/>
      </c>
      <c r="O25" s="66"/>
      <c r="P25" s="66"/>
      <c r="Q25" s="66"/>
      <c r="R25" s="66"/>
      <c r="S25" s="66"/>
      <c r="T25" s="115"/>
      <c r="U25" s="1">
        <f t="shared" si="2"/>
        <v>30</v>
      </c>
    </row>
    <row r="26" spans="1:21" s="4" customFormat="1">
      <c r="A26" s="118" t="s">
        <v>26</v>
      </c>
      <c r="B26" s="115"/>
      <c r="C26" s="116"/>
      <c r="D26" s="119"/>
      <c r="E26" s="119"/>
      <c r="F26" s="119"/>
      <c r="G26" s="119"/>
      <c r="H26" s="119"/>
      <c r="I26" s="119"/>
      <c r="J26" s="116"/>
      <c r="K26" s="119"/>
      <c r="L26" s="119"/>
      <c r="M26" s="119"/>
      <c r="N26" s="116"/>
      <c r="O26" s="116"/>
      <c r="P26" s="116"/>
      <c r="Q26" s="116"/>
      <c r="R26" s="116"/>
      <c r="S26" s="116"/>
      <c r="T26" s="116"/>
      <c r="U26" s="116"/>
    </row>
    <row r="27" spans="1:21">
      <c r="A27" s="66"/>
      <c r="B27" s="66"/>
      <c r="C27" s="66"/>
      <c r="D27" s="135" t="b">
        <v>0</v>
      </c>
      <c r="E27" s="135" t="b">
        <v>0</v>
      </c>
      <c r="F27" s="135" t="b">
        <v>0</v>
      </c>
      <c r="G27" s="135" t="b">
        <v>0</v>
      </c>
      <c r="H27" s="135" t="b">
        <v>0</v>
      </c>
      <c r="I27" s="135" t="b">
        <v>0</v>
      </c>
      <c r="J27" s="1" t="str">
        <f t="shared" ref="J27:J46" si="3">IF(D27,"8 km/t",IF(E27,"9 km/t",IF(F27,"10 km/t",IF(G27,"11 km/t",IF(H27,"12 km/t",IF(I27,"13 km/t",""))))))</f>
        <v/>
      </c>
      <c r="K27" s="135" t="b">
        <v>0</v>
      </c>
      <c r="L27" s="135" t="b">
        <v>0</v>
      </c>
      <c r="M27" s="135" t="b">
        <v>0</v>
      </c>
      <c r="N27" s="1" t="str">
        <f t="shared" ref="N27:N46" si="4">IF(K27,"150 meter/min",IF(L27,"180 meter/min",IF(M27,"200 meter/min","")))</f>
        <v/>
      </c>
      <c r="O27" s="66"/>
      <c r="P27" s="66"/>
      <c r="Q27" s="66"/>
      <c r="R27" s="66"/>
      <c r="S27" s="66"/>
      <c r="T27" s="115"/>
      <c r="U27" s="1">
        <f t="shared" ref="U27:U46" si="5">IF(S27&lt;40,R27+30,IF(AND(S27&gt;=40,S27&lt;=59),R27+35,IF(AND(S27&gt;=60,S27&lt;=89),R27+40,IF(S27&lt;=90,R27+45,IF(S27="Winchester",230,IF(S27="Winchester tunge heste",250,"FEJL"))))))</f>
        <v>30</v>
      </c>
    </row>
    <row r="28" spans="1:21">
      <c r="A28" s="66"/>
      <c r="B28" s="66"/>
      <c r="C28" s="66"/>
      <c r="D28" s="135" t="b">
        <v>0</v>
      </c>
      <c r="E28" s="135" t="b">
        <v>0</v>
      </c>
      <c r="F28" s="135" t="b">
        <v>0</v>
      </c>
      <c r="G28" s="135" t="b">
        <v>0</v>
      </c>
      <c r="H28" s="135" t="b">
        <v>0</v>
      </c>
      <c r="I28" s="135" t="b">
        <v>0</v>
      </c>
      <c r="J28" s="1" t="str">
        <f t="shared" si="3"/>
        <v/>
      </c>
      <c r="K28" s="135" t="b">
        <v>0</v>
      </c>
      <c r="L28" s="135" t="b">
        <v>0</v>
      </c>
      <c r="M28" s="135" t="b">
        <v>0</v>
      </c>
      <c r="N28" s="1" t="str">
        <f t="shared" si="4"/>
        <v/>
      </c>
      <c r="O28" s="66"/>
      <c r="P28" s="66"/>
      <c r="Q28" s="66"/>
      <c r="R28" s="66"/>
      <c r="S28" s="66"/>
      <c r="T28" s="115"/>
      <c r="U28" s="1">
        <f t="shared" si="5"/>
        <v>30</v>
      </c>
    </row>
    <row r="29" spans="1:21">
      <c r="A29" s="66"/>
      <c r="B29" s="66"/>
      <c r="C29" s="66"/>
      <c r="D29" s="135" t="b">
        <v>0</v>
      </c>
      <c r="E29" s="135" t="b">
        <v>0</v>
      </c>
      <c r="F29" s="135" t="b">
        <v>0</v>
      </c>
      <c r="G29" s="135" t="b">
        <v>0</v>
      </c>
      <c r="H29" s="135" t="b">
        <v>0</v>
      </c>
      <c r="I29" s="135" t="b">
        <v>0</v>
      </c>
      <c r="J29" s="1" t="str">
        <f t="shared" si="3"/>
        <v/>
      </c>
      <c r="K29" s="135" t="b">
        <v>0</v>
      </c>
      <c r="L29" s="135" t="b">
        <v>0</v>
      </c>
      <c r="M29" s="135" t="b">
        <v>0</v>
      </c>
      <c r="N29" s="1" t="str">
        <f t="shared" si="4"/>
        <v/>
      </c>
      <c r="O29" s="66"/>
      <c r="P29" s="66"/>
      <c r="Q29" s="66"/>
      <c r="R29" s="66"/>
      <c r="S29" s="66"/>
      <c r="T29" s="115"/>
      <c r="U29" s="1">
        <f t="shared" si="5"/>
        <v>30</v>
      </c>
    </row>
    <row r="30" spans="1:21">
      <c r="A30" s="66"/>
      <c r="B30" s="66"/>
      <c r="C30" s="66"/>
      <c r="D30" s="135" t="b">
        <v>0</v>
      </c>
      <c r="E30" s="135" t="b">
        <v>0</v>
      </c>
      <c r="F30" s="135" t="b">
        <v>0</v>
      </c>
      <c r="G30" s="135" t="b">
        <v>0</v>
      </c>
      <c r="H30" s="135" t="b">
        <v>0</v>
      </c>
      <c r="I30" s="135" t="b">
        <v>0</v>
      </c>
      <c r="J30" s="1" t="str">
        <f t="shared" si="3"/>
        <v/>
      </c>
      <c r="K30" s="135" t="b">
        <v>0</v>
      </c>
      <c r="L30" s="135" t="b">
        <v>0</v>
      </c>
      <c r="M30" s="135" t="b">
        <v>0</v>
      </c>
      <c r="N30" s="1" t="str">
        <f t="shared" si="4"/>
        <v/>
      </c>
      <c r="O30" s="66"/>
      <c r="P30" s="66"/>
      <c r="Q30" s="66"/>
      <c r="R30" s="66"/>
      <c r="S30" s="66"/>
      <c r="T30" s="115"/>
      <c r="U30" s="1">
        <f t="shared" si="5"/>
        <v>30</v>
      </c>
    </row>
    <row r="31" spans="1:21">
      <c r="A31" s="66"/>
      <c r="B31" s="66"/>
      <c r="C31" s="66"/>
      <c r="D31" s="135" t="b">
        <v>0</v>
      </c>
      <c r="E31" s="135" t="b">
        <v>0</v>
      </c>
      <c r="F31" s="135" t="b">
        <v>0</v>
      </c>
      <c r="G31" s="135" t="b">
        <v>0</v>
      </c>
      <c r="H31" s="135" t="b">
        <v>0</v>
      </c>
      <c r="I31" s="135" t="b">
        <v>0</v>
      </c>
      <c r="J31" s="1" t="str">
        <f t="shared" si="3"/>
        <v/>
      </c>
      <c r="K31" s="135" t="b">
        <v>0</v>
      </c>
      <c r="L31" s="135" t="b">
        <v>0</v>
      </c>
      <c r="M31" s="135" t="b">
        <v>0</v>
      </c>
      <c r="N31" s="1" t="str">
        <f t="shared" si="4"/>
        <v/>
      </c>
      <c r="O31" s="66"/>
      <c r="P31" s="66"/>
      <c r="Q31" s="66"/>
      <c r="R31" s="66"/>
      <c r="S31" s="66"/>
      <c r="T31" s="115"/>
      <c r="U31" s="1">
        <f t="shared" si="5"/>
        <v>30</v>
      </c>
    </row>
    <row r="32" spans="1:21">
      <c r="A32" s="66"/>
      <c r="B32" s="66"/>
      <c r="C32" s="66"/>
      <c r="D32" s="135" t="b">
        <v>0</v>
      </c>
      <c r="E32" s="135" t="b">
        <v>0</v>
      </c>
      <c r="F32" s="135" t="b">
        <v>0</v>
      </c>
      <c r="G32" s="135" t="b">
        <v>0</v>
      </c>
      <c r="H32" s="135" t="b">
        <v>0</v>
      </c>
      <c r="I32" s="135" t="b">
        <v>0</v>
      </c>
      <c r="J32" s="1" t="str">
        <f t="shared" si="3"/>
        <v/>
      </c>
      <c r="K32" s="135" t="b">
        <v>0</v>
      </c>
      <c r="L32" s="135" t="b">
        <v>0</v>
      </c>
      <c r="M32" s="135" t="b">
        <v>0</v>
      </c>
      <c r="N32" s="1" t="str">
        <f t="shared" si="4"/>
        <v/>
      </c>
      <c r="O32" s="66"/>
      <c r="P32" s="66"/>
      <c r="Q32" s="66"/>
      <c r="R32" s="66"/>
      <c r="S32" s="66"/>
      <c r="T32" s="115"/>
      <c r="U32" s="1">
        <f t="shared" si="5"/>
        <v>30</v>
      </c>
    </row>
    <row r="33" spans="1:21">
      <c r="A33" s="66"/>
      <c r="B33" s="66"/>
      <c r="C33" s="66"/>
      <c r="D33" s="135" t="b">
        <v>0</v>
      </c>
      <c r="E33" s="135" t="b">
        <v>0</v>
      </c>
      <c r="F33" s="135" t="b">
        <v>0</v>
      </c>
      <c r="G33" s="135" t="b">
        <v>0</v>
      </c>
      <c r="H33" s="135" t="b">
        <v>0</v>
      </c>
      <c r="I33" s="135" t="b">
        <v>0</v>
      </c>
      <c r="J33" s="1" t="str">
        <f t="shared" si="3"/>
        <v/>
      </c>
      <c r="K33" s="135" t="b">
        <v>0</v>
      </c>
      <c r="L33" s="135" t="b">
        <v>0</v>
      </c>
      <c r="M33" s="135" t="b">
        <v>0</v>
      </c>
      <c r="N33" s="1" t="str">
        <f t="shared" si="4"/>
        <v/>
      </c>
      <c r="O33" s="66"/>
      <c r="P33" s="66"/>
      <c r="Q33" s="66"/>
      <c r="R33" s="66"/>
      <c r="S33" s="66"/>
      <c r="T33" s="115"/>
      <c r="U33" s="1">
        <f t="shared" si="5"/>
        <v>30</v>
      </c>
    </row>
    <row r="34" spans="1:21">
      <c r="A34" s="66"/>
      <c r="B34" s="66"/>
      <c r="C34" s="66"/>
      <c r="D34" s="135" t="b">
        <v>0</v>
      </c>
      <c r="E34" s="135" t="b">
        <v>0</v>
      </c>
      <c r="F34" s="135" t="b">
        <v>0</v>
      </c>
      <c r="G34" s="135" t="b">
        <v>0</v>
      </c>
      <c r="H34" s="135" t="b">
        <v>0</v>
      </c>
      <c r="I34" s="135" t="b">
        <v>0</v>
      </c>
      <c r="J34" s="1" t="str">
        <f t="shared" si="3"/>
        <v/>
      </c>
      <c r="K34" s="135" t="b">
        <v>0</v>
      </c>
      <c r="L34" s="135" t="b">
        <v>0</v>
      </c>
      <c r="M34" s="135" t="b">
        <v>0</v>
      </c>
      <c r="N34" s="1" t="str">
        <f t="shared" si="4"/>
        <v/>
      </c>
      <c r="O34" s="66"/>
      <c r="P34" s="66"/>
      <c r="Q34" s="66"/>
      <c r="R34" s="66"/>
      <c r="S34" s="66"/>
      <c r="T34" s="115"/>
      <c r="U34" s="1">
        <f t="shared" si="5"/>
        <v>30</v>
      </c>
    </row>
    <row r="35" spans="1:21">
      <c r="A35" s="66"/>
      <c r="B35" s="66"/>
      <c r="C35" s="66"/>
      <c r="D35" s="135" t="b">
        <v>0</v>
      </c>
      <c r="E35" s="135" t="b">
        <v>0</v>
      </c>
      <c r="F35" s="135" t="b">
        <v>0</v>
      </c>
      <c r="G35" s="135" t="b">
        <v>0</v>
      </c>
      <c r="H35" s="135" t="b">
        <v>0</v>
      </c>
      <c r="I35" s="135" t="b">
        <v>0</v>
      </c>
      <c r="J35" s="1" t="str">
        <f t="shared" si="3"/>
        <v/>
      </c>
      <c r="K35" s="135" t="b">
        <v>0</v>
      </c>
      <c r="L35" s="135" t="b">
        <v>0</v>
      </c>
      <c r="M35" s="135" t="b">
        <v>0</v>
      </c>
      <c r="N35" s="1" t="str">
        <f t="shared" si="4"/>
        <v/>
      </c>
      <c r="O35" s="66"/>
      <c r="P35" s="66"/>
      <c r="Q35" s="66"/>
      <c r="R35" s="66"/>
      <c r="S35" s="66"/>
      <c r="T35" s="115"/>
      <c r="U35" s="1">
        <f t="shared" si="5"/>
        <v>30</v>
      </c>
    </row>
    <row r="36" spans="1:21">
      <c r="A36" s="66"/>
      <c r="B36" s="66"/>
      <c r="C36" s="66"/>
      <c r="D36" s="135" t="b">
        <v>0</v>
      </c>
      <c r="E36" s="135" t="b">
        <v>0</v>
      </c>
      <c r="F36" s="135" t="b">
        <v>0</v>
      </c>
      <c r="G36" s="135" t="b">
        <v>0</v>
      </c>
      <c r="H36" s="135" t="b">
        <v>0</v>
      </c>
      <c r="I36" s="135" t="b">
        <v>0</v>
      </c>
      <c r="J36" s="1" t="str">
        <f t="shared" si="3"/>
        <v/>
      </c>
      <c r="K36" s="135" t="b">
        <v>0</v>
      </c>
      <c r="L36" s="135" t="b">
        <v>0</v>
      </c>
      <c r="M36" s="135" t="b">
        <v>0</v>
      </c>
      <c r="N36" s="1" t="str">
        <f t="shared" si="4"/>
        <v/>
      </c>
      <c r="O36" s="66"/>
      <c r="P36" s="66"/>
      <c r="Q36" s="66"/>
      <c r="R36" s="66"/>
      <c r="S36" s="66"/>
      <c r="T36" s="115"/>
      <c r="U36" s="1">
        <f t="shared" si="5"/>
        <v>30</v>
      </c>
    </row>
    <row r="37" spans="1:21">
      <c r="A37" s="66"/>
      <c r="B37" s="66"/>
      <c r="C37" s="66"/>
      <c r="D37" s="135" t="b">
        <v>0</v>
      </c>
      <c r="E37" s="135" t="b">
        <v>0</v>
      </c>
      <c r="F37" s="135" t="b">
        <v>0</v>
      </c>
      <c r="G37" s="135" t="b">
        <v>0</v>
      </c>
      <c r="H37" s="135" t="b">
        <v>0</v>
      </c>
      <c r="I37" s="135" t="b">
        <v>0</v>
      </c>
      <c r="J37" s="1" t="str">
        <f t="shared" si="3"/>
        <v/>
      </c>
      <c r="K37" s="135" t="b">
        <v>0</v>
      </c>
      <c r="L37" s="135" t="b">
        <v>0</v>
      </c>
      <c r="M37" s="135" t="b">
        <v>0</v>
      </c>
      <c r="N37" s="1" t="str">
        <f t="shared" si="4"/>
        <v/>
      </c>
      <c r="O37" s="66"/>
      <c r="P37" s="66"/>
      <c r="Q37" s="66"/>
      <c r="R37" s="66"/>
      <c r="S37" s="66"/>
      <c r="T37" s="115"/>
      <c r="U37" s="1">
        <f t="shared" si="5"/>
        <v>30</v>
      </c>
    </row>
    <row r="38" spans="1:21">
      <c r="A38" s="66"/>
      <c r="B38" s="66"/>
      <c r="C38" s="66"/>
      <c r="D38" s="135" t="b">
        <v>0</v>
      </c>
      <c r="E38" s="135" t="b">
        <v>0</v>
      </c>
      <c r="F38" s="135" t="b">
        <v>0</v>
      </c>
      <c r="G38" s="135" t="b">
        <v>0</v>
      </c>
      <c r="H38" s="135" t="b">
        <v>0</v>
      </c>
      <c r="I38" s="135" t="b">
        <v>0</v>
      </c>
      <c r="J38" s="1" t="str">
        <f t="shared" si="3"/>
        <v/>
      </c>
      <c r="K38" s="135" t="b">
        <v>0</v>
      </c>
      <c r="L38" s="135" t="b">
        <v>0</v>
      </c>
      <c r="M38" s="135" t="b">
        <v>0</v>
      </c>
      <c r="N38" s="1" t="str">
        <f t="shared" si="4"/>
        <v/>
      </c>
      <c r="O38" s="66"/>
      <c r="P38" s="66"/>
      <c r="Q38" s="66"/>
      <c r="R38" s="66"/>
      <c r="S38" s="66"/>
      <c r="T38" s="115"/>
      <c r="U38" s="1">
        <f t="shared" si="5"/>
        <v>30</v>
      </c>
    </row>
    <row r="39" spans="1:21">
      <c r="A39" s="66"/>
      <c r="B39" s="66"/>
      <c r="C39" s="66"/>
      <c r="D39" s="135" t="b">
        <v>0</v>
      </c>
      <c r="E39" s="135" t="b">
        <v>0</v>
      </c>
      <c r="F39" s="135" t="b">
        <v>0</v>
      </c>
      <c r="G39" s="135" t="b">
        <v>0</v>
      </c>
      <c r="H39" s="135" t="b">
        <v>0</v>
      </c>
      <c r="I39" s="135" t="b">
        <v>0</v>
      </c>
      <c r="J39" s="1" t="str">
        <f t="shared" si="3"/>
        <v/>
      </c>
      <c r="K39" s="135" t="b">
        <v>0</v>
      </c>
      <c r="L39" s="135" t="b">
        <v>0</v>
      </c>
      <c r="M39" s="135" t="b">
        <v>0</v>
      </c>
      <c r="N39" s="1" t="str">
        <f t="shared" si="4"/>
        <v/>
      </c>
      <c r="O39" s="66"/>
      <c r="P39" s="66"/>
      <c r="Q39" s="66"/>
      <c r="R39" s="66"/>
      <c r="S39" s="66"/>
      <c r="T39" s="115"/>
      <c r="U39" s="1">
        <f t="shared" si="5"/>
        <v>30</v>
      </c>
    </row>
    <row r="40" spans="1:21">
      <c r="A40" s="66"/>
      <c r="B40" s="66"/>
      <c r="C40" s="66"/>
      <c r="D40" s="135" t="b">
        <v>0</v>
      </c>
      <c r="E40" s="135" t="b">
        <v>0</v>
      </c>
      <c r="F40" s="135" t="b">
        <v>0</v>
      </c>
      <c r="G40" s="135" t="b">
        <v>0</v>
      </c>
      <c r="H40" s="135" t="b">
        <v>0</v>
      </c>
      <c r="I40" s="135" t="b">
        <v>0</v>
      </c>
      <c r="J40" s="1" t="str">
        <f t="shared" si="3"/>
        <v/>
      </c>
      <c r="K40" s="135" t="b">
        <v>0</v>
      </c>
      <c r="L40" s="135" t="b">
        <v>0</v>
      </c>
      <c r="M40" s="135" t="b">
        <v>0</v>
      </c>
      <c r="N40" s="1" t="str">
        <f t="shared" si="4"/>
        <v/>
      </c>
      <c r="O40" s="66"/>
      <c r="P40" s="66"/>
      <c r="Q40" s="66"/>
      <c r="R40" s="66"/>
      <c r="S40" s="66"/>
      <c r="T40" s="115"/>
      <c r="U40" s="1">
        <f t="shared" si="5"/>
        <v>30</v>
      </c>
    </row>
    <row r="41" spans="1:21">
      <c r="A41" s="66"/>
      <c r="B41" s="66"/>
      <c r="C41" s="66"/>
      <c r="D41" s="135" t="b">
        <v>0</v>
      </c>
      <c r="E41" s="135" t="b">
        <v>0</v>
      </c>
      <c r="F41" s="135" t="b">
        <v>0</v>
      </c>
      <c r="G41" s="135" t="b">
        <v>0</v>
      </c>
      <c r="H41" s="135" t="b">
        <v>0</v>
      </c>
      <c r="I41" s="135" t="b">
        <v>0</v>
      </c>
      <c r="J41" s="1" t="str">
        <f t="shared" si="3"/>
        <v/>
      </c>
      <c r="K41" s="135" t="b">
        <v>0</v>
      </c>
      <c r="L41" s="135" t="b">
        <v>0</v>
      </c>
      <c r="M41" s="135" t="b">
        <v>0</v>
      </c>
      <c r="N41" s="1" t="str">
        <f t="shared" si="4"/>
        <v/>
      </c>
      <c r="O41" s="66"/>
      <c r="P41" s="66"/>
      <c r="Q41" s="66"/>
      <c r="R41" s="66"/>
      <c r="S41" s="66"/>
      <c r="T41" s="115"/>
      <c r="U41" s="1">
        <f t="shared" si="5"/>
        <v>30</v>
      </c>
    </row>
    <row r="42" spans="1:21">
      <c r="A42" s="66"/>
      <c r="B42" s="66"/>
      <c r="C42" s="66"/>
      <c r="D42" s="135" t="b">
        <v>0</v>
      </c>
      <c r="E42" s="135" t="b">
        <v>0</v>
      </c>
      <c r="F42" s="135" t="b">
        <v>0</v>
      </c>
      <c r="G42" s="135" t="b">
        <v>0</v>
      </c>
      <c r="H42" s="135" t="b">
        <v>0</v>
      </c>
      <c r="I42" s="135" t="b">
        <v>0</v>
      </c>
      <c r="J42" s="1" t="str">
        <f t="shared" si="3"/>
        <v/>
      </c>
      <c r="K42" s="135" t="b">
        <v>0</v>
      </c>
      <c r="L42" s="135" t="b">
        <v>0</v>
      </c>
      <c r="M42" s="135" t="b">
        <v>0</v>
      </c>
      <c r="N42" s="1" t="str">
        <f t="shared" si="4"/>
        <v/>
      </c>
      <c r="O42" s="66"/>
      <c r="P42" s="66"/>
      <c r="Q42" s="66"/>
      <c r="R42" s="66"/>
      <c r="S42" s="66"/>
      <c r="T42" s="115"/>
      <c r="U42" s="1">
        <f t="shared" si="5"/>
        <v>30</v>
      </c>
    </row>
    <row r="43" spans="1:21">
      <c r="A43" s="66"/>
      <c r="B43" s="66"/>
      <c r="C43" s="66"/>
      <c r="D43" s="135" t="b">
        <v>0</v>
      </c>
      <c r="E43" s="135" t="b">
        <v>0</v>
      </c>
      <c r="F43" s="135" t="b">
        <v>0</v>
      </c>
      <c r="G43" s="135" t="b">
        <v>0</v>
      </c>
      <c r="H43" s="135" t="b">
        <v>0</v>
      </c>
      <c r="I43" s="135" t="b">
        <v>0</v>
      </c>
      <c r="J43" s="1" t="str">
        <f t="shared" si="3"/>
        <v/>
      </c>
      <c r="K43" s="135" t="b">
        <v>0</v>
      </c>
      <c r="L43" s="135" t="b">
        <v>0</v>
      </c>
      <c r="M43" s="135" t="b">
        <v>0</v>
      </c>
      <c r="N43" s="1" t="str">
        <f t="shared" si="4"/>
        <v/>
      </c>
      <c r="O43" s="66"/>
      <c r="P43" s="66"/>
      <c r="Q43" s="66"/>
      <c r="R43" s="66"/>
      <c r="S43" s="66"/>
      <c r="T43" s="115"/>
      <c r="U43" s="1">
        <f t="shared" si="5"/>
        <v>30</v>
      </c>
    </row>
    <row r="44" spans="1:21">
      <c r="A44" s="66"/>
      <c r="B44" s="66"/>
      <c r="C44" s="66"/>
      <c r="D44" s="135" t="b">
        <v>0</v>
      </c>
      <c r="E44" s="135" t="b">
        <v>0</v>
      </c>
      <c r="F44" s="135" t="b">
        <v>0</v>
      </c>
      <c r="G44" s="135" t="b">
        <v>0</v>
      </c>
      <c r="H44" s="135" t="b">
        <v>0</v>
      </c>
      <c r="I44" s="135" t="b">
        <v>0</v>
      </c>
      <c r="J44" s="1" t="str">
        <f t="shared" si="3"/>
        <v/>
      </c>
      <c r="K44" s="135" t="b">
        <v>0</v>
      </c>
      <c r="L44" s="135" t="b">
        <v>0</v>
      </c>
      <c r="M44" s="135" t="b">
        <v>0</v>
      </c>
      <c r="N44" s="1" t="str">
        <f t="shared" si="4"/>
        <v/>
      </c>
      <c r="O44" s="66"/>
      <c r="P44" s="66"/>
      <c r="Q44" s="66"/>
      <c r="R44" s="66"/>
      <c r="S44" s="66"/>
      <c r="T44" s="115"/>
      <c r="U44" s="1">
        <f t="shared" si="5"/>
        <v>30</v>
      </c>
    </row>
    <row r="45" spans="1:21">
      <c r="A45" s="66"/>
      <c r="B45" s="66"/>
      <c r="C45" s="66"/>
      <c r="D45" s="135" t="b">
        <v>0</v>
      </c>
      <c r="E45" s="135" t="b">
        <v>0</v>
      </c>
      <c r="F45" s="135" t="b">
        <v>0</v>
      </c>
      <c r="G45" s="135" t="b">
        <v>0</v>
      </c>
      <c r="H45" s="135" t="b">
        <v>0</v>
      </c>
      <c r="I45" s="135" t="b">
        <v>0</v>
      </c>
      <c r="J45" s="1" t="str">
        <f t="shared" si="3"/>
        <v/>
      </c>
      <c r="K45" s="135" t="b">
        <v>0</v>
      </c>
      <c r="L45" s="135" t="b">
        <v>0</v>
      </c>
      <c r="M45" s="135" t="b">
        <v>0</v>
      </c>
      <c r="N45" s="1" t="str">
        <f t="shared" si="4"/>
        <v/>
      </c>
      <c r="O45" s="66"/>
      <c r="P45" s="66"/>
      <c r="Q45" s="66"/>
      <c r="R45" s="66"/>
      <c r="S45" s="66"/>
      <c r="T45" s="115"/>
      <c r="U45" s="1">
        <f t="shared" si="5"/>
        <v>30</v>
      </c>
    </row>
    <row r="46" spans="1:21">
      <c r="A46" s="66"/>
      <c r="B46" s="66"/>
      <c r="C46" s="66"/>
      <c r="D46" s="135" t="b">
        <v>0</v>
      </c>
      <c r="E46" s="135" t="b">
        <v>0</v>
      </c>
      <c r="F46" s="135" t="b">
        <v>0</v>
      </c>
      <c r="G46" s="135" t="b">
        <v>0</v>
      </c>
      <c r="H46" s="135" t="b">
        <v>0</v>
      </c>
      <c r="I46" s="135" t="b">
        <v>0</v>
      </c>
      <c r="J46" s="1" t="str">
        <f t="shared" si="3"/>
        <v/>
      </c>
      <c r="K46" s="135" t="b">
        <v>0</v>
      </c>
      <c r="L46" s="135" t="b">
        <v>0</v>
      </c>
      <c r="M46" s="135" t="b">
        <v>0</v>
      </c>
      <c r="N46" s="1" t="str">
        <f t="shared" si="4"/>
        <v/>
      </c>
      <c r="O46" s="66"/>
      <c r="P46" s="66"/>
      <c r="Q46" s="66"/>
      <c r="R46" s="66"/>
      <c r="S46" s="66"/>
      <c r="T46" s="115"/>
      <c r="U46" s="1">
        <f t="shared" si="5"/>
        <v>30</v>
      </c>
    </row>
    <row r="47" spans="1:21">
      <c r="A47" s="120"/>
      <c r="B47" s="115"/>
      <c r="C47" s="115"/>
      <c r="D47" s="119"/>
      <c r="E47" s="119"/>
      <c r="F47" s="119"/>
      <c r="G47" s="119"/>
      <c r="H47" s="119"/>
      <c r="I47" s="119"/>
      <c r="J47" s="115"/>
      <c r="K47" s="119"/>
      <c r="L47" s="119"/>
      <c r="M47" s="119"/>
      <c r="N47" s="115"/>
      <c r="O47" s="115"/>
      <c r="P47" s="115"/>
      <c r="Q47" s="115"/>
      <c r="R47" s="115"/>
      <c r="S47" s="115"/>
      <c r="T47" s="115"/>
      <c r="U47" s="115"/>
    </row>
  </sheetData>
  <mergeCells count="23">
    <mergeCell ref="C3:C4"/>
    <mergeCell ref="D3:D4"/>
    <mergeCell ref="J3:J4"/>
    <mergeCell ref="L3:L4"/>
    <mergeCell ref="I3:I4"/>
    <mergeCell ref="G3:G4"/>
    <mergeCell ref="K3:K4"/>
    <mergeCell ref="A1:U1"/>
    <mergeCell ref="D2:J2"/>
    <mergeCell ref="U3:U4"/>
    <mergeCell ref="F3:F4"/>
    <mergeCell ref="H3:H4"/>
    <mergeCell ref="N3:N4"/>
    <mergeCell ref="P3:P4"/>
    <mergeCell ref="R3:R4"/>
    <mergeCell ref="O3:O4"/>
    <mergeCell ref="Q3:Q4"/>
    <mergeCell ref="A3:A4"/>
    <mergeCell ref="M3:M4"/>
    <mergeCell ref="B3:B4"/>
    <mergeCell ref="S3:S4"/>
    <mergeCell ref="K2:N2"/>
    <mergeCell ref="E3:E4"/>
  </mergeCells>
  <pageMargins left="0.35433070866141736" right="0.35433070866141736" top="0.55118110236220474" bottom="0.55118110236220474" header="0.23622047244094491" footer="0.23622047244094491"/>
  <pageSetup paperSize="9" fitToHeight="0" orientation="landscape" r:id="rId1"/>
  <headerFooter>
    <oddFooter>&amp;LArrangør dokument v 5.0 Classic&amp;C&amp;D&amp;RSide &amp;P af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7"/>
  <sheetViews>
    <sheetView showGridLines="0" zoomScale="70" zoomScaleNormal="70" workbookViewId="0">
      <selection activeCell="B17" sqref="B17"/>
    </sheetView>
  </sheetViews>
  <sheetFormatPr defaultRowHeight="10.5" customHeight="1"/>
  <cols>
    <col min="1" max="1" width="6.90625" style="3" customWidth="1"/>
    <col min="2" max="2" width="35.36328125" style="1" customWidth="1"/>
    <col min="3" max="3" width="7.1796875" style="1" customWidth="1"/>
    <col min="4" max="4" width="10.90625" style="1" customWidth="1"/>
    <col min="5" max="5" width="8.81640625" style="1" customWidth="1"/>
    <col min="6" max="6" width="11.6328125" style="1" customWidth="1"/>
    <col min="7" max="7" width="9.36328125" style="1" customWidth="1"/>
    <col min="8" max="8" width="8.1796875" style="1" customWidth="1"/>
    <col min="9" max="9" width="11.81640625" style="1" customWidth="1"/>
    <col min="10" max="10" width="15.90625" style="1" customWidth="1"/>
    <col min="11" max="11" width="13.90625" style="1" customWidth="1"/>
    <col min="12" max="12" width="8.7265625" style="1" customWidth="1"/>
    <col min="13" max="14" width="13" style="1" hidden="1" customWidth="1"/>
    <col min="15" max="15" width="8.7265625" style="1" customWidth="1"/>
    <col min="16" max="16384" width="8.7265625" style="1"/>
  </cols>
  <sheetData>
    <row r="1" spans="1:14" ht="14" customHeight="1">
      <c r="A1" s="159" t="s">
        <v>27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4" ht="14" customHeight="1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4" ht="14" customHeight="1">
      <c r="A3" s="161" t="s">
        <v>28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</row>
    <row r="4" spans="1:14" s="10" customFormat="1" ht="14" customHeight="1">
      <c r="A4" s="162" t="s">
        <v>29</v>
      </c>
      <c r="B4" s="160" t="s">
        <v>30</v>
      </c>
      <c r="C4" s="160" t="s">
        <v>31</v>
      </c>
      <c r="D4" s="162" t="s">
        <v>32</v>
      </c>
      <c r="E4" s="162" t="s">
        <v>15</v>
      </c>
      <c r="F4" s="162" t="s">
        <v>33</v>
      </c>
      <c r="G4" s="162" t="s">
        <v>19</v>
      </c>
      <c r="H4" s="162" t="s">
        <v>20</v>
      </c>
      <c r="I4" s="162" t="s">
        <v>21</v>
      </c>
      <c r="J4" s="162" t="s">
        <v>22</v>
      </c>
      <c r="K4" s="162" t="s">
        <v>23</v>
      </c>
      <c r="L4" s="30"/>
    </row>
    <row r="5" spans="1:14" s="10" customFormat="1" ht="14" customHeight="1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30"/>
    </row>
    <row r="6" spans="1:14" ht="10.5" customHeight="1">
      <c r="A6" s="61" t="str">
        <f>IFERROR(IF($N6="","",INDEX('Deltager info'!$A$6:$A$46,$N6-7)),"")</f>
        <v/>
      </c>
      <c r="B6" s="62" t="str">
        <f>IFERROR(IF($N6="","",INDEX('Deltager info'!$B$6:$B$46,$N6-7)),"")</f>
        <v/>
      </c>
      <c r="C6" s="62" t="str">
        <f>IFERROR(IF($N6="","",INDEX('Deltager info'!$C$6:$C$46,$N6-7)),"")</f>
        <v/>
      </c>
      <c r="D6" s="72"/>
      <c r="E6" s="62" t="str">
        <f>IFERROR(IF($N6="","",INDEX('Deltager info'!$J$6:$J$46,$N6-7)),"")</f>
        <v/>
      </c>
      <c r="F6" s="62" t="str">
        <f>IFERROR(IF($N6="","",INDEX('Deltager info'!$N$6:$N$46,$N6-7)),"")</f>
        <v/>
      </c>
      <c r="G6" s="63" t="str">
        <f>IFERROR(IF($N6="","",INDEX('Deltager info'!$O$6:$O$46,$N6-7)),"")</f>
        <v/>
      </c>
      <c r="H6" s="63" t="str">
        <f>IFERROR(IF($N6="","",INDEX('Deltager info'!$P$6:$P$46,$N6-7)),"")</f>
        <v/>
      </c>
      <c r="I6" s="63" t="str">
        <f>IFERROR(IF($N6="","",INDEX('Deltager info'!$Q$6:$Q$46,$N6-7)),"")</f>
        <v/>
      </c>
      <c r="J6" s="63" t="str">
        <f>IFERROR(IF($N6="","",INDEX('Deltager info'!$R$6:$R$46,$N6-7)),"")</f>
        <v/>
      </c>
      <c r="K6" s="63" t="str">
        <f>IFERROR(IF($N6="","",INDEX('Deltager info'!$S$6:$S$46,$N6-7)),"")</f>
        <v/>
      </c>
      <c r="L6" s="73"/>
      <c r="M6" s="1" t="str">
        <f>IFERROR(IF('Deltager info'!$A6="","",'Deltager info'!$A6+ROW('Deltager info'!$A6)/1000000),"")</f>
        <v/>
      </c>
      <c r="N6" s="1" t="str">
        <f>IFERROR(MATCH(SMALL($M$6:$M$46,1),$M$6:$M$46,0)+7,"")</f>
        <v/>
      </c>
    </row>
    <row r="7" spans="1:14" ht="10.5" customHeight="1">
      <c r="A7" s="61" t="str">
        <f>IFERROR(IF($N7="","",INDEX('Deltager info'!$A$6:$A$46,$N7-7)),"")</f>
        <v/>
      </c>
      <c r="B7" s="62" t="str">
        <f>IFERROR(IF($N7="","",INDEX('Deltager info'!$B$6:$B$46,$N7-7)),"")</f>
        <v/>
      </c>
      <c r="C7" s="62" t="str">
        <f>IFERROR(IF($N7="","",INDEX('Deltager info'!$C$6:$C$46,$N7-7)),"")</f>
        <v/>
      </c>
      <c r="D7" s="72"/>
      <c r="E7" s="62" t="str">
        <f>IFERROR(IF($N7="","",INDEX('Deltager info'!$J$6:$J$46,$N7-7)),"")</f>
        <v/>
      </c>
      <c r="F7" s="62" t="str">
        <f>IFERROR(IF($N7="","",INDEX('Deltager info'!$N$6:$N$46,$N7-7)),"")</f>
        <v/>
      </c>
      <c r="G7" s="63" t="str">
        <f>IFERROR(IF($N7="","",INDEX('Deltager info'!$O$6:$O$46,$N7-7)),"")</f>
        <v/>
      </c>
      <c r="H7" s="63" t="str">
        <f>IFERROR(IF($N7="","",INDEX('Deltager info'!$P$6:$P$46,$N7-7)),"")</f>
        <v/>
      </c>
      <c r="I7" s="63" t="str">
        <f>IFERROR(IF($N7="","",INDEX('Deltager info'!$Q$6:$Q$46,$N7-7)),"")</f>
        <v/>
      </c>
      <c r="J7" s="63" t="str">
        <f>IFERROR(IF($N7="","",INDEX('Deltager info'!$R$6:$R$46,$N7-7)),"")</f>
        <v/>
      </c>
      <c r="K7" s="63" t="str">
        <f>IFERROR(IF($N7="","",INDEX('Deltager info'!$S$6:$S$46,$N7-7)),"")</f>
        <v/>
      </c>
      <c r="L7" s="66"/>
      <c r="M7" s="1" t="str">
        <f>IFERROR(IF('Deltager info'!$A7="","",'Deltager info'!$A7+ROW('Deltager info'!$A7)/1000000),"")</f>
        <v/>
      </c>
      <c r="N7" s="1" t="str">
        <f>IFERROR(MATCH(SMALL($M$6:$M$46,2),$M$6:$M$46,0)+7,"")</f>
        <v/>
      </c>
    </row>
    <row r="8" spans="1:14" ht="10.5" customHeight="1">
      <c r="A8" s="61" t="str">
        <f>IFERROR(IF($N8="","",INDEX('Deltager info'!$A$6:$A$46,$N8-7)),"")</f>
        <v/>
      </c>
      <c r="B8" s="62" t="str">
        <f>IFERROR(IF($N8="","",INDEX('Deltager info'!$B$6:$B$46,$N8-7)),"")</f>
        <v/>
      </c>
      <c r="C8" s="62" t="str">
        <f>IFERROR(IF($N8="","",INDEX('Deltager info'!$C$6:$C$46,$N8-7)),"")</f>
        <v/>
      </c>
      <c r="D8" s="72"/>
      <c r="E8" s="62" t="str">
        <f>IFERROR(IF($N8="","",INDEX('Deltager info'!$J$6:$J$46,$N8-7)),"")</f>
        <v/>
      </c>
      <c r="F8" s="62" t="str">
        <f>IFERROR(IF($N8="","",INDEX('Deltager info'!$N$6:$N$46,$N8-7)),"")</f>
        <v/>
      </c>
      <c r="G8" s="63" t="str">
        <f>IFERROR(IF($N8="","",INDEX('Deltager info'!$O$6:$O$46,$N8-7)),"")</f>
        <v/>
      </c>
      <c r="H8" s="63" t="str">
        <f>IFERROR(IF($N8="","",INDEX('Deltager info'!$P$6:$P$46,$N8-7)),"")</f>
        <v/>
      </c>
      <c r="I8" s="63" t="str">
        <f>IFERROR(IF($N8="","",INDEX('Deltager info'!$Q$6:$Q$46,$N8-7)),"")</f>
        <v/>
      </c>
      <c r="J8" s="63" t="str">
        <f>IFERROR(IF($N8="","",INDEX('Deltager info'!$R$6:$R$46,$N8-7)),"")</f>
        <v/>
      </c>
      <c r="K8" s="63" t="str">
        <f>IFERROR(IF($N8="","",INDEX('Deltager info'!$S$6:$S$46,$N8-7)),"")</f>
        <v/>
      </c>
      <c r="L8" s="66"/>
      <c r="M8" s="1" t="str">
        <f>IFERROR(IF('Deltager info'!$A8="","",'Deltager info'!$A8+ROW('Deltager info'!$A8)/1000000),"")</f>
        <v/>
      </c>
      <c r="N8" s="1" t="str">
        <f>IFERROR(MATCH(SMALL($M$6:$M$46,3),$M$6:$M$46,0)+7,"")</f>
        <v/>
      </c>
    </row>
    <row r="9" spans="1:14" ht="10.5" customHeight="1">
      <c r="A9" s="61" t="str">
        <f>IFERROR(IF($N9="","",INDEX('Deltager info'!$A$6:$A$46,$N9-7)),"")</f>
        <v/>
      </c>
      <c r="B9" s="62" t="str">
        <f>IFERROR(IF($N9="","",INDEX('Deltager info'!$B$6:$B$46,$N9-7)),"")</f>
        <v/>
      </c>
      <c r="C9" s="62" t="str">
        <f>IFERROR(IF($N9="","",INDEX('Deltager info'!$C$6:$C$46,$N9-7)),"")</f>
        <v/>
      </c>
      <c r="D9" s="72"/>
      <c r="E9" s="62" t="str">
        <f>IFERROR(IF($N9="","",INDEX('Deltager info'!$J$6:$J$46,$N9-7)),"")</f>
        <v/>
      </c>
      <c r="F9" s="62" t="str">
        <f>IFERROR(IF($N9="","",INDEX('Deltager info'!$N$6:$N$46,$N9-7)),"")</f>
        <v/>
      </c>
      <c r="G9" s="63" t="str">
        <f>IFERROR(IF($N9="","",INDEX('Deltager info'!$O$6:$O$46,$N9-7)),"")</f>
        <v/>
      </c>
      <c r="H9" s="63" t="str">
        <f>IFERROR(IF($N9="","",INDEX('Deltager info'!$P$6:$P$46,$N9-7)),"")</f>
        <v/>
      </c>
      <c r="I9" s="63" t="str">
        <f>IFERROR(IF($N9="","",INDEX('Deltager info'!$Q$6:$Q$46,$N9-7)),"")</f>
        <v/>
      </c>
      <c r="J9" s="63" t="str">
        <f>IFERROR(IF($N9="","",INDEX('Deltager info'!$R$6:$R$46,$N9-7)),"")</f>
        <v/>
      </c>
      <c r="K9" s="63" t="str">
        <f>IFERROR(IF($N9="","",INDEX('Deltager info'!$S$6:$S$46,$N9-7)),"")</f>
        <v/>
      </c>
      <c r="L9" s="66"/>
      <c r="M9" s="1" t="str">
        <f>IFERROR(IF('Deltager info'!$A9="","",'Deltager info'!$A9+ROW('Deltager info'!$A9)/1000000),"")</f>
        <v/>
      </c>
      <c r="N9" s="1" t="str">
        <f>IFERROR(MATCH(SMALL($M$6:$M$46,4),$M$6:$M$46,0)+7,"")</f>
        <v/>
      </c>
    </row>
    <row r="10" spans="1:14" ht="10.5" customHeight="1">
      <c r="A10" s="61" t="str">
        <f>IFERROR(IF($N10="","",INDEX('Deltager info'!$A$6:$A$46,$N10-7)),"")</f>
        <v/>
      </c>
      <c r="B10" s="62" t="str">
        <f>IFERROR(IF($N10="","",INDEX('Deltager info'!$B$6:$B$46,$N10-7)),"")</f>
        <v/>
      </c>
      <c r="C10" s="62" t="str">
        <f>IFERROR(IF($N10="","",INDEX('Deltager info'!$C$6:$C$46,$N10-7)),"")</f>
        <v/>
      </c>
      <c r="D10" s="72"/>
      <c r="E10" s="62" t="str">
        <f>IFERROR(IF($N10="","",INDEX('Deltager info'!$J$6:$J$46,$N10-7)),"")</f>
        <v/>
      </c>
      <c r="F10" s="62" t="str">
        <f>IFERROR(IF($N10="","",INDEX('Deltager info'!$N$6:$N$46,$N10-7)),"")</f>
        <v/>
      </c>
      <c r="G10" s="63" t="str">
        <f>IFERROR(IF($N10="","",INDEX('Deltager info'!$O$6:$O$46,$N10-7)),"")</f>
        <v/>
      </c>
      <c r="H10" s="63" t="str">
        <f>IFERROR(IF($N10="","",INDEX('Deltager info'!$P$6:$P$46,$N10-7)),"")</f>
        <v/>
      </c>
      <c r="I10" s="63" t="str">
        <f>IFERROR(IF($N10="","",INDEX('Deltager info'!$Q$6:$Q$46,$N10-7)),"")</f>
        <v/>
      </c>
      <c r="J10" s="63" t="str">
        <f>IFERROR(IF($N10="","",INDEX('Deltager info'!$R$6:$R$46,$N10-7)),"")</f>
        <v/>
      </c>
      <c r="K10" s="63" t="str">
        <f>IFERROR(IF($N10="","",INDEX('Deltager info'!$S$6:$S$46,$N10-7)),"")</f>
        <v/>
      </c>
      <c r="L10" s="66"/>
      <c r="M10" s="1" t="str">
        <f>IFERROR(IF('Deltager info'!$A10="","",'Deltager info'!$A10+ROW('Deltager info'!$A10)/1000000),"")</f>
        <v/>
      </c>
      <c r="N10" s="1" t="str">
        <f>IFERROR(MATCH(SMALL($M$6:$M$46,5),$M$6:$M$46,0)+7,"")</f>
        <v/>
      </c>
    </row>
    <row r="11" spans="1:14" ht="10.5" customHeight="1">
      <c r="A11" s="61" t="str">
        <f>IFERROR(IF($N11="","",INDEX('Deltager info'!$A$6:$A$46,$N11-7)),"")</f>
        <v/>
      </c>
      <c r="B11" s="62" t="str">
        <f>IFERROR(IF($N11="","",INDEX('Deltager info'!$B$6:$B$46,$N11-7)),"")</f>
        <v/>
      </c>
      <c r="C11" s="62" t="str">
        <f>IFERROR(IF($N11="","",INDEX('Deltager info'!$C$6:$C$46,$N11-7)),"")</f>
        <v/>
      </c>
      <c r="D11" s="72"/>
      <c r="E11" s="62" t="str">
        <f>IFERROR(IF($N11="","",INDEX('Deltager info'!$J$6:$J$46,$N11-7)),"")</f>
        <v/>
      </c>
      <c r="F11" s="62" t="str">
        <f>IFERROR(IF($N11="","",INDEX('Deltager info'!$N$6:$N$46,$N11-7)),"")</f>
        <v/>
      </c>
      <c r="G11" s="63" t="str">
        <f>IFERROR(IF($N11="","",INDEX('Deltager info'!$O$6:$O$46,$N11-7)),"")</f>
        <v/>
      </c>
      <c r="H11" s="63" t="str">
        <f>IFERROR(IF($N11="","",INDEX('Deltager info'!$P$6:$P$46,$N11-7)),"")</f>
        <v/>
      </c>
      <c r="I11" s="63" t="str">
        <f>IFERROR(IF($N11="","",INDEX('Deltager info'!$Q$6:$Q$46,$N11-7)),"")</f>
        <v/>
      </c>
      <c r="J11" s="63" t="str">
        <f>IFERROR(IF($N11="","",INDEX('Deltager info'!$R$6:$R$46,$N11-7)),"")</f>
        <v/>
      </c>
      <c r="K11" s="63" t="str">
        <f>IFERROR(IF($N11="","",INDEX('Deltager info'!$S$6:$S$46,$N11-7)),"")</f>
        <v/>
      </c>
      <c r="L11" s="66"/>
      <c r="M11" s="1" t="str">
        <f>IFERROR(IF('Deltager info'!$A11="","",'Deltager info'!$A11+ROW('Deltager info'!$A11)/1000000),"")</f>
        <v/>
      </c>
      <c r="N11" s="1" t="str">
        <f>IFERROR(MATCH(SMALL($M$6:$M$46,6),$M$6:$M$46,0)+7,"")</f>
        <v/>
      </c>
    </row>
    <row r="12" spans="1:14" ht="10.5" customHeight="1">
      <c r="A12" s="61" t="str">
        <f>IFERROR(IF($N12="","",INDEX('Deltager info'!$A$6:$A$46,$N12-7)),"")</f>
        <v/>
      </c>
      <c r="B12" s="62" t="str">
        <f>IFERROR(IF($N12="","",INDEX('Deltager info'!$B$6:$B$46,$N12-7)),"")</f>
        <v/>
      </c>
      <c r="C12" s="62" t="str">
        <f>IFERROR(IF($N12="","",INDEX('Deltager info'!$C$6:$C$46,$N12-7)),"")</f>
        <v/>
      </c>
      <c r="D12" s="72"/>
      <c r="E12" s="62" t="str">
        <f>IFERROR(IF($N12="","",INDEX('Deltager info'!$J$6:$J$46,$N12-7)),"")</f>
        <v/>
      </c>
      <c r="F12" s="62" t="str">
        <f>IFERROR(IF($N12="","",INDEX('Deltager info'!$N$6:$N$46,$N12-7)),"")</f>
        <v/>
      </c>
      <c r="G12" s="63" t="str">
        <f>IFERROR(IF($N12="","",INDEX('Deltager info'!$O$6:$O$46,$N12-7)),"")</f>
        <v/>
      </c>
      <c r="H12" s="63" t="str">
        <f>IFERROR(IF($N12="","",INDEX('Deltager info'!$P$6:$P$46,$N12-7)),"")</f>
        <v/>
      </c>
      <c r="I12" s="63" t="str">
        <f>IFERROR(IF($N12="","",INDEX('Deltager info'!$Q$6:$Q$46,$N12-7)),"")</f>
        <v/>
      </c>
      <c r="J12" s="63" t="str">
        <f>IFERROR(IF($N12="","",INDEX('Deltager info'!$R$6:$R$46,$N12-7)),"")</f>
        <v/>
      </c>
      <c r="K12" s="63" t="str">
        <f>IFERROR(IF($N12="","",INDEX('Deltager info'!$S$6:$S$46,$N12-7)),"")</f>
        <v/>
      </c>
      <c r="L12" s="66"/>
      <c r="M12" s="1" t="str">
        <f>IFERROR(IF('Deltager info'!$A12="","",'Deltager info'!$A12+ROW('Deltager info'!$A12)/1000000),"")</f>
        <v/>
      </c>
      <c r="N12" s="1" t="str">
        <f>IFERROR(MATCH(SMALL($M$6:$M$46,7),$M$6:$M$46,0)+7,"")</f>
        <v/>
      </c>
    </row>
    <row r="13" spans="1:14" ht="10.5" customHeight="1">
      <c r="A13" s="61" t="str">
        <f>IFERROR(IF($N13="","",INDEX('Deltager info'!$A$6:$A$46,$N13-7)),"")</f>
        <v/>
      </c>
      <c r="B13" s="62" t="str">
        <f>IFERROR(IF($N13="","",INDEX('Deltager info'!$B$6:$B$46,$N13-7)),"")</f>
        <v/>
      </c>
      <c r="C13" s="62" t="str">
        <f>IFERROR(IF($N13="","",INDEX('Deltager info'!$C$6:$C$46,$N13-7)),"")</f>
        <v/>
      </c>
      <c r="D13" s="72"/>
      <c r="E13" s="62" t="str">
        <f>IFERROR(IF($N13="","",INDEX('Deltager info'!$J$6:$J$46,$N13-7)),"")</f>
        <v/>
      </c>
      <c r="F13" s="62" t="str">
        <f>IFERROR(IF($N13="","",INDEX('Deltager info'!$N$6:$N$46,$N13-7)),"")</f>
        <v/>
      </c>
      <c r="G13" s="63" t="str">
        <f>IFERROR(IF($N13="","",INDEX('Deltager info'!$O$6:$O$46,$N13-7)),"")</f>
        <v/>
      </c>
      <c r="H13" s="63" t="str">
        <f>IFERROR(IF($N13="","",INDEX('Deltager info'!$P$6:$P$46,$N13-7)),"")</f>
        <v/>
      </c>
      <c r="I13" s="63" t="str">
        <f>IFERROR(IF($N13="","",INDEX('Deltager info'!$Q$6:$Q$46,$N13-7)),"")</f>
        <v/>
      </c>
      <c r="J13" s="63" t="str">
        <f>IFERROR(IF($N13="","",INDEX('Deltager info'!$R$6:$R$46,$N13-7)),"")</f>
        <v/>
      </c>
      <c r="K13" s="63" t="str">
        <f>IFERROR(IF($N13="","",INDEX('Deltager info'!$S$6:$S$46,$N13-7)),"")</f>
        <v/>
      </c>
      <c r="L13" s="66"/>
      <c r="M13" s="1" t="str">
        <f>IFERROR(IF('Deltager info'!$A13="","",'Deltager info'!$A13+ROW('Deltager info'!$A13)/1000000),"")</f>
        <v/>
      </c>
      <c r="N13" s="1" t="str">
        <f>IFERROR(MATCH(SMALL($M$6:$M$46,8),$M$6:$M$46,0)+7,"")</f>
        <v/>
      </c>
    </row>
    <row r="14" spans="1:14" ht="10.5" customHeight="1">
      <c r="A14" s="61" t="str">
        <f>IFERROR(IF($N14="","",INDEX('Deltager info'!$A$6:$A$46,$N14-7)),"")</f>
        <v/>
      </c>
      <c r="B14" s="62" t="str">
        <f>IFERROR(IF($N14="","",INDEX('Deltager info'!$B$6:$B$46,$N14-7)),"")</f>
        <v/>
      </c>
      <c r="C14" s="62" t="str">
        <f>IFERROR(IF($N14="","",INDEX('Deltager info'!$C$6:$C$46,$N14-7)),"")</f>
        <v/>
      </c>
      <c r="D14" s="72"/>
      <c r="E14" s="62" t="str">
        <f>IFERROR(IF($N14="","",INDEX('Deltager info'!$J$6:$J$46,$N14-7)),"")</f>
        <v/>
      </c>
      <c r="F14" s="62" t="str">
        <f>IFERROR(IF($N14="","",INDEX('Deltager info'!$N$6:$N$46,$N14-7)),"")</f>
        <v/>
      </c>
      <c r="G14" s="63" t="str">
        <f>IFERROR(IF($N14="","",INDEX('Deltager info'!$O$6:$O$46,$N14-7)),"")</f>
        <v/>
      </c>
      <c r="H14" s="63" t="str">
        <f>IFERROR(IF($N14="","",INDEX('Deltager info'!$P$6:$P$46,$N14-7)),"")</f>
        <v/>
      </c>
      <c r="I14" s="63" t="str">
        <f>IFERROR(IF($N14="","",INDEX('Deltager info'!$Q$6:$Q$46,$N14-7)),"")</f>
        <v/>
      </c>
      <c r="J14" s="63" t="str">
        <f>IFERROR(IF($N14="","",INDEX('Deltager info'!$R$6:$R$46,$N14-7)),"")</f>
        <v/>
      </c>
      <c r="K14" s="63" t="str">
        <f>IFERROR(IF($N14="","",INDEX('Deltager info'!$S$6:$S$46,$N14-7)),"")</f>
        <v/>
      </c>
      <c r="L14" s="66"/>
      <c r="M14" s="1" t="str">
        <f>IFERROR(IF('Deltager info'!$A14="","",'Deltager info'!$A14+ROW('Deltager info'!$A14)/1000000),"")</f>
        <v/>
      </c>
      <c r="N14" s="1" t="str">
        <f>IFERROR(MATCH(SMALL($M$6:$M$46,9),$M$6:$M$46,0)+7,"")</f>
        <v/>
      </c>
    </row>
    <row r="15" spans="1:14" ht="10.5" customHeight="1">
      <c r="A15" s="61" t="str">
        <f>IFERROR(IF($N15="","",INDEX('Deltager info'!$A$6:$A$46,$N15-7)),"")</f>
        <v/>
      </c>
      <c r="B15" s="62" t="str">
        <f>IFERROR(IF($N15="","",INDEX('Deltager info'!$B$6:$B$46,$N15-7)),"")</f>
        <v/>
      </c>
      <c r="C15" s="62" t="str">
        <f>IFERROR(IF($N15="","",INDEX('Deltager info'!$C$6:$C$46,$N15-7)),"")</f>
        <v/>
      </c>
      <c r="D15" s="72"/>
      <c r="E15" s="62" t="str">
        <f>IFERROR(IF($N15="","",INDEX('Deltager info'!$J$6:$J$46,$N15-7)),"")</f>
        <v/>
      </c>
      <c r="F15" s="62" t="str">
        <f>IFERROR(IF($N15="","",INDEX('Deltager info'!$N$6:$N$46,$N15-7)),"")</f>
        <v/>
      </c>
      <c r="G15" s="63" t="str">
        <f>IFERROR(IF($N15="","",INDEX('Deltager info'!$O$6:$O$46,$N15-7)),"")</f>
        <v/>
      </c>
      <c r="H15" s="63" t="str">
        <f>IFERROR(IF($N15="","",INDEX('Deltager info'!$P$6:$P$46,$N15-7)),"")</f>
        <v/>
      </c>
      <c r="I15" s="63" t="str">
        <f>IFERROR(IF($N15="","",INDEX('Deltager info'!$Q$6:$Q$46,$N15-7)),"")</f>
        <v/>
      </c>
      <c r="J15" s="63" t="str">
        <f>IFERROR(IF($N15="","",INDEX('Deltager info'!$R$6:$R$46,$N15-7)),"")</f>
        <v/>
      </c>
      <c r="K15" s="63" t="str">
        <f>IFERROR(IF($N15="","",INDEX('Deltager info'!$S$6:$S$46,$N15-7)),"")</f>
        <v/>
      </c>
      <c r="L15" s="66"/>
      <c r="M15" s="1" t="str">
        <f>IFERROR(IF('Deltager info'!$A15="","",'Deltager info'!$A15+ROW('Deltager info'!$A15)/1000000),"")</f>
        <v/>
      </c>
      <c r="N15" s="1" t="str">
        <f>IFERROR(MATCH(SMALL($M$6:$M$46,10),$M$6:$M$46,0)+7,"")</f>
        <v/>
      </c>
    </row>
    <row r="16" spans="1:14" ht="10.5" customHeight="1">
      <c r="A16" s="61" t="str">
        <f>IFERROR(IF($N16="","",INDEX('Deltager info'!$A$6:$A$46,$N16-7)),"")</f>
        <v/>
      </c>
      <c r="B16" s="62" t="str">
        <f>IFERROR(IF($N16="","",INDEX('Deltager info'!$B$6:$B$46,$N16-7)),"")</f>
        <v/>
      </c>
      <c r="C16" s="62" t="str">
        <f>IFERROR(IF($N16="","",INDEX('Deltager info'!$C$6:$C$46,$N16-7)),"")</f>
        <v/>
      </c>
      <c r="D16" s="72"/>
      <c r="E16" s="62" t="str">
        <f>IFERROR(IF($N16="","",INDEX('Deltager info'!$J$6:$J$46,$N16-7)),"")</f>
        <v/>
      </c>
      <c r="F16" s="62" t="str">
        <f>IFERROR(IF($N16="","",INDEX('Deltager info'!$N$6:$N$46,$N16-7)),"")</f>
        <v/>
      </c>
      <c r="G16" s="63" t="str">
        <f>IFERROR(IF($N16="","",INDEX('Deltager info'!$O$6:$O$46,$N16-7)),"")</f>
        <v/>
      </c>
      <c r="H16" s="63" t="str">
        <f>IFERROR(IF($N16="","",INDEX('Deltager info'!$P$6:$P$46,$N16-7)),"")</f>
        <v/>
      </c>
      <c r="I16" s="63" t="str">
        <f>IFERROR(IF($N16="","",INDEX('Deltager info'!$Q$6:$Q$46,$N16-7)),"")</f>
        <v/>
      </c>
      <c r="J16" s="63" t="str">
        <f>IFERROR(IF($N16="","",INDEX('Deltager info'!$R$6:$R$46,$N16-7)),"")</f>
        <v/>
      </c>
      <c r="K16" s="63" t="str">
        <f>IFERROR(IF($N16="","",INDEX('Deltager info'!$S$6:$S$46,$N16-7)),"")</f>
        <v/>
      </c>
      <c r="L16" s="66"/>
      <c r="M16" s="1" t="str">
        <f>IFERROR(IF('Deltager info'!$A16="","",'Deltager info'!$A16+ROW('Deltager info'!$A16)/1000000),"")</f>
        <v/>
      </c>
      <c r="N16" s="1" t="str">
        <f>IFERROR(MATCH(SMALL($M$6:$M$46,11),$M$6:$M$46,0)+7,"")</f>
        <v/>
      </c>
    </row>
    <row r="17" spans="1:14" ht="10.5" customHeight="1">
      <c r="A17" s="61" t="str">
        <f>IFERROR(IF($N17="","",INDEX('Deltager info'!$A$6:$A$46,$N17-7)),"")</f>
        <v/>
      </c>
      <c r="B17" s="62" t="str">
        <f>IFERROR(IF($N17="","",INDEX('Deltager info'!$B$6:$B$46,$N17-7)),"")</f>
        <v/>
      </c>
      <c r="C17" s="62" t="str">
        <f>IFERROR(IF($N17="","",INDEX('Deltager info'!$C$6:$C$46,$N17-7)),"")</f>
        <v/>
      </c>
      <c r="D17" s="72"/>
      <c r="E17" s="62" t="str">
        <f>IFERROR(IF($N17="","",INDEX('Deltager info'!$J$6:$J$46,$N17-7)),"")</f>
        <v/>
      </c>
      <c r="F17" s="62" t="str">
        <f>IFERROR(IF($N17="","",INDEX('Deltager info'!$N$6:$N$46,$N17-7)),"")</f>
        <v/>
      </c>
      <c r="G17" s="63" t="str">
        <f>IFERROR(IF($N17="","",INDEX('Deltager info'!$O$6:$O$46,$N17-7)),"")</f>
        <v/>
      </c>
      <c r="H17" s="63" t="str">
        <f>IFERROR(IF($N17="","",INDEX('Deltager info'!$P$6:$P$46,$N17-7)),"")</f>
        <v/>
      </c>
      <c r="I17" s="63" t="str">
        <f>IFERROR(IF($N17="","",INDEX('Deltager info'!$Q$6:$Q$46,$N17-7)),"")</f>
        <v/>
      </c>
      <c r="J17" s="63" t="str">
        <f>IFERROR(IF($N17="","",INDEX('Deltager info'!$R$6:$R$46,$N17-7)),"")</f>
        <v/>
      </c>
      <c r="K17" s="63" t="str">
        <f>IFERROR(IF($N17="","",INDEX('Deltager info'!$S$6:$S$46,$N17-7)),"")</f>
        <v/>
      </c>
      <c r="L17" s="66"/>
      <c r="M17" s="1" t="str">
        <f>IFERROR(IF('Deltager info'!$A17="","",'Deltager info'!$A17+ROW('Deltager info'!$A17)/1000000),"")</f>
        <v/>
      </c>
      <c r="N17" s="1" t="str">
        <f>IFERROR(MATCH(SMALL($M$6:$M$46,12),$M$6:$M$46,0)+7,"")</f>
        <v/>
      </c>
    </row>
    <row r="18" spans="1:14" ht="10.5" customHeight="1">
      <c r="A18" s="61" t="str">
        <f>IFERROR(IF($N18="","",INDEX('Deltager info'!$A$6:$A$46,$N18-7)),"")</f>
        <v/>
      </c>
      <c r="B18" s="62" t="str">
        <f>IFERROR(IF($N18="","",INDEX('Deltager info'!$B$6:$B$46,$N18-7)),"")</f>
        <v/>
      </c>
      <c r="C18" s="62" t="str">
        <f>IFERROR(IF($N18="","",INDEX('Deltager info'!$C$6:$C$46,$N18-7)),"")</f>
        <v/>
      </c>
      <c r="D18" s="72"/>
      <c r="E18" s="62" t="str">
        <f>IFERROR(IF($N18="","",INDEX('Deltager info'!$J$6:$J$46,$N18-7)),"")</f>
        <v/>
      </c>
      <c r="F18" s="62" t="str">
        <f>IFERROR(IF($N18="","",INDEX('Deltager info'!$N$6:$N$46,$N18-7)),"")</f>
        <v/>
      </c>
      <c r="G18" s="63" t="str">
        <f>IFERROR(IF($N18="","",INDEX('Deltager info'!$O$6:$O$46,$N18-7)),"")</f>
        <v/>
      </c>
      <c r="H18" s="63" t="str">
        <f>IFERROR(IF($N18="","",INDEX('Deltager info'!$P$6:$P$46,$N18-7)),"")</f>
        <v/>
      </c>
      <c r="I18" s="63" t="str">
        <f>IFERROR(IF($N18="","",INDEX('Deltager info'!$Q$6:$Q$46,$N18-7)),"")</f>
        <v/>
      </c>
      <c r="J18" s="63" t="str">
        <f>IFERROR(IF($N18="","",INDEX('Deltager info'!$R$6:$R$46,$N18-7)),"")</f>
        <v/>
      </c>
      <c r="K18" s="63" t="str">
        <f>IFERROR(IF($N18="","",INDEX('Deltager info'!$S$6:$S$46,$N18-7)),"")</f>
        <v/>
      </c>
      <c r="L18" s="66"/>
      <c r="M18" s="1" t="str">
        <f>IFERROR(IF('Deltager info'!$A18="","",'Deltager info'!$A18+ROW('Deltager info'!$A18)/1000000),"")</f>
        <v/>
      </c>
      <c r="N18" s="1" t="str">
        <f>IFERROR(MATCH(SMALL($M$6:$M$46,13),$M$6:$M$46,0)+7,"")</f>
        <v/>
      </c>
    </row>
    <row r="19" spans="1:14" ht="10.5" customHeight="1">
      <c r="A19" s="61" t="str">
        <f>IFERROR(IF($N19="","",INDEX('Deltager info'!$A$6:$A$46,$N19-7)),"")</f>
        <v/>
      </c>
      <c r="B19" s="62" t="str">
        <f>IFERROR(IF($N19="","",INDEX('Deltager info'!$B$6:$B$46,$N19-7)),"")</f>
        <v/>
      </c>
      <c r="C19" s="62" t="str">
        <f>IFERROR(IF($N19="","",INDEX('Deltager info'!$C$6:$C$46,$N19-7)),"")</f>
        <v/>
      </c>
      <c r="D19" s="72"/>
      <c r="E19" s="62" t="str">
        <f>IFERROR(IF($N19="","",INDEX('Deltager info'!$J$6:$J$46,$N19-7)),"")</f>
        <v/>
      </c>
      <c r="F19" s="62" t="str">
        <f>IFERROR(IF($N19="","",INDEX('Deltager info'!$N$6:$N$46,$N19-7)),"")</f>
        <v/>
      </c>
      <c r="G19" s="63" t="str">
        <f>IFERROR(IF($N19="","",INDEX('Deltager info'!$O$6:$O$46,$N19-7)),"")</f>
        <v/>
      </c>
      <c r="H19" s="63" t="str">
        <f>IFERROR(IF($N19="","",INDEX('Deltager info'!$P$6:$P$46,$N19-7)),"")</f>
        <v/>
      </c>
      <c r="I19" s="63" t="str">
        <f>IFERROR(IF($N19="","",INDEX('Deltager info'!$Q$6:$Q$46,$N19-7)),"")</f>
        <v/>
      </c>
      <c r="J19" s="63" t="str">
        <f>IFERROR(IF($N19="","",INDEX('Deltager info'!$R$6:$R$46,$N19-7)),"")</f>
        <v/>
      </c>
      <c r="K19" s="63" t="str">
        <f>IFERROR(IF($N19="","",INDEX('Deltager info'!$S$6:$S$46,$N19-7)),"")</f>
        <v/>
      </c>
      <c r="L19" s="66"/>
      <c r="M19" s="1" t="str">
        <f>IFERROR(IF('Deltager info'!$A19="","",'Deltager info'!$A19+ROW('Deltager info'!$A19)/1000000),"")</f>
        <v/>
      </c>
      <c r="N19" s="1" t="str">
        <f>IFERROR(MATCH(SMALL($M$6:$M$46,14),$M$6:$M$46,0)+7,"")</f>
        <v/>
      </c>
    </row>
    <row r="20" spans="1:14" ht="10.5" customHeight="1">
      <c r="A20" s="61" t="str">
        <f>IFERROR(IF($N20="","",INDEX('Deltager info'!$A$6:$A$46,$N20-7)),"")</f>
        <v/>
      </c>
      <c r="B20" s="62" t="str">
        <f>IFERROR(IF($N20="","",INDEX('Deltager info'!$B$6:$B$46,$N20-7)),"")</f>
        <v/>
      </c>
      <c r="C20" s="62" t="str">
        <f>IFERROR(IF($N20="","",INDEX('Deltager info'!$C$6:$C$46,$N20-7)),"")</f>
        <v/>
      </c>
      <c r="D20" s="72"/>
      <c r="E20" s="62" t="str">
        <f>IFERROR(IF($N20="","",INDEX('Deltager info'!$J$6:$J$46,$N20-7)),"")</f>
        <v/>
      </c>
      <c r="F20" s="62" t="str">
        <f>IFERROR(IF($N20="","",INDEX('Deltager info'!$N$6:$N$46,$N20-7)),"")</f>
        <v/>
      </c>
      <c r="G20" s="63" t="str">
        <f>IFERROR(IF($N20="","",INDEX('Deltager info'!$O$6:$O$46,$N20-7)),"")</f>
        <v/>
      </c>
      <c r="H20" s="63" t="str">
        <f>IFERROR(IF($N20="","",INDEX('Deltager info'!$P$6:$P$46,$N20-7)),"")</f>
        <v/>
      </c>
      <c r="I20" s="63" t="str">
        <f>IFERROR(IF($N20="","",INDEX('Deltager info'!$Q$6:$Q$46,$N20-7)),"")</f>
        <v/>
      </c>
      <c r="J20" s="63" t="str">
        <f>IFERROR(IF($N20="","",INDEX('Deltager info'!$R$6:$R$46,$N20-7)),"")</f>
        <v/>
      </c>
      <c r="K20" s="63" t="str">
        <f>IFERROR(IF($N20="","",INDEX('Deltager info'!$S$6:$S$46,$N20-7)),"")</f>
        <v/>
      </c>
      <c r="L20" s="66"/>
      <c r="M20" s="1" t="str">
        <f>IFERROR(IF('Deltager info'!$A20="","",'Deltager info'!$A20+ROW('Deltager info'!$A20)/1000000),"")</f>
        <v/>
      </c>
      <c r="N20" s="1" t="str">
        <f>IFERROR(MATCH(SMALL($M$6:$M$46,15),$M$6:$M$46,0)+7,"")</f>
        <v/>
      </c>
    </row>
    <row r="21" spans="1:14" ht="10.5" customHeight="1">
      <c r="A21" s="61" t="str">
        <f>IFERROR(IF($N21="","",INDEX('Deltager info'!$A$6:$A$46,$N21-7)),"")</f>
        <v/>
      </c>
      <c r="B21" s="62" t="str">
        <f>IFERROR(IF($N21="","",INDEX('Deltager info'!$B$6:$B$46,$N21-7)),"")</f>
        <v/>
      </c>
      <c r="C21" s="62" t="str">
        <f>IFERROR(IF($N21="","",INDEX('Deltager info'!$C$6:$C$46,$N21-7)),"")</f>
        <v/>
      </c>
      <c r="D21" s="72"/>
      <c r="E21" s="62" t="str">
        <f>IFERROR(IF($N21="","",INDEX('Deltager info'!$J$6:$J$46,$N21-7)),"")</f>
        <v/>
      </c>
      <c r="F21" s="62" t="str">
        <f>IFERROR(IF($N21="","",INDEX('Deltager info'!$N$6:$N$46,$N21-7)),"")</f>
        <v/>
      </c>
      <c r="G21" s="63" t="str">
        <f>IFERROR(IF($N21="","",INDEX('Deltager info'!$O$6:$O$46,$N21-7)),"")</f>
        <v/>
      </c>
      <c r="H21" s="63" t="str">
        <f>IFERROR(IF($N21="","",INDEX('Deltager info'!$P$6:$P$46,$N21-7)),"")</f>
        <v/>
      </c>
      <c r="I21" s="63" t="str">
        <f>IFERROR(IF($N21="","",INDEX('Deltager info'!$Q$6:$Q$46,$N21-7)),"")</f>
        <v/>
      </c>
      <c r="J21" s="63" t="str">
        <f>IFERROR(IF($N21="","",INDEX('Deltager info'!$R$6:$R$46,$N21-7)),"")</f>
        <v/>
      </c>
      <c r="K21" s="63" t="str">
        <f>IFERROR(IF($N21="","",INDEX('Deltager info'!$S$6:$S$46,$N21-7)),"")</f>
        <v/>
      </c>
      <c r="L21" s="66"/>
      <c r="M21" s="1" t="str">
        <f>IFERROR(IF('Deltager info'!$A21="","",'Deltager info'!$A21+ROW('Deltager info'!$A21)/1000000),"")</f>
        <v/>
      </c>
      <c r="N21" s="1" t="str">
        <f>IFERROR(MATCH(SMALL($M$6:$M$46,16),$M$6:$M$46,0)+7,"")</f>
        <v/>
      </c>
    </row>
    <row r="22" spans="1:14" ht="10.5" customHeight="1">
      <c r="A22" s="61" t="str">
        <f>IFERROR(IF($N22="","",INDEX('Deltager info'!$A$6:$A$46,$N22-7)),"")</f>
        <v/>
      </c>
      <c r="B22" s="62" t="str">
        <f>IFERROR(IF($N22="","",INDEX('Deltager info'!$B$6:$B$46,$N22-7)),"")</f>
        <v/>
      </c>
      <c r="C22" s="62" t="str">
        <f>IFERROR(IF($N22="","",INDEX('Deltager info'!$C$6:$C$46,$N22-7)),"")</f>
        <v/>
      </c>
      <c r="D22" s="72"/>
      <c r="E22" s="62" t="str">
        <f>IFERROR(IF($N22="","",INDEX('Deltager info'!$J$6:$J$46,$N22-7)),"")</f>
        <v/>
      </c>
      <c r="F22" s="62" t="str">
        <f>IFERROR(IF($N22="","",INDEX('Deltager info'!$N$6:$N$46,$N22-7)),"")</f>
        <v/>
      </c>
      <c r="G22" s="63" t="str">
        <f>IFERROR(IF($N22="","",INDEX('Deltager info'!$O$6:$O$46,$N22-7)),"")</f>
        <v/>
      </c>
      <c r="H22" s="63" t="str">
        <f>IFERROR(IF($N22="","",INDEX('Deltager info'!$P$6:$P$46,$N22-7)),"")</f>
        <v/>
      </c>
      <c r="I22" s="63" t="str">
        <f>IFERROR(IF($N22="","",INDEX('Deltager info'!$Q$6:$Q$46,$N22-7)),"")</f>
        <v/>
      </c>
      <c r="J22" s="63" t="str">
        <f>IFERROR(IF($N22="","",INDEX('Deltager info'!$R$6:$R$46,$N22-7)),"")</f>
        <v/>
      </c>
      <c r="K22" s="63" t="str">
        <f>IFERROR(IF($N22="","",INDEX('Deltager info'!$S$6:$S$46,$N22-7)),"")</f>
        <v/>
      </c>
      <c r="L22" s="66"/>
      <c r="M22" s="1" t="str">
        <f>IFERROR(IF('Deltager info'!$A22="","",'Deltager info'!$A22+ROW('Deltager info'!$A22)/1000000),"")</f>
        <v/>
      </c>
      <c r="N22" s="1" t="str">
        <f>IFERROR(MATCH(SMALL($M$6:$M$46,17),$M$6:$M$46,0)+7,"")</f>
        <v/>
      </c>
    </row>
    <row r="23" spans="1:14" ht="10.5" customHeight="1">
      <c r="A23" s="61" t="str">
        <f>IFERROR(IF($N23="","",INDEX('Deltager info'!$A$6:$A$46,$N23-7)),"")</f>
        <v/>
      </c>
      <c r="B23" s="62" t="str">
        <f>IFERROR(IF($N23="","",INDEX('Deltager info'!$B$6:$B$46,$N23-7)),"")</f>
        <v/>
      </c>
      <c r="C23" s="62" t="str">
        <f>IFERROR(IF($N23="","",INDEX('Deltager info'!$C$6:$C$46,$N23-7)),"")</f>
        <v/>
      </c>
      <c r="D23" s="72"/>
      <c r="E23" s="62" t="str">
        <f>IFERROR(IF($N23="","",INDEX('Deltager info'!$J$6:$J$46,$N23-7)),"")</f>
        <v/>
      </c>
      <c r="F23" s="62" t="str">
        <f>IFERROR(IF($N23="","",INDEX('Deltager info'!$N$6:$N$46,$N23-7)),"")</f>
        <v/>
      </c>
      <c r="G23" s="63" t="str">
        <f>IFERROR(IF($N23="","",INDEX('Deltager info'!$O$6:$O$46,$N23-7)),"")</f>
        <v/>
      </c>
      <c r="H23" s="63" t="str">
        <f>IFERROR(IF($N23="","",INDEX('Deltager info'!$P$6:$P$46,$N23-7)),"")</f>
        <v/>
      </c>
      <c r="I23" s="63" t="str">
        <f>IFERROR(IF($N23="","",INDEX('Deltager info'!$Q$6:$Q$46,$N23-7)),"")</f>
        <v/>
      </c>
      <c r="J23" s="63" t="str">
        <f>IFERROR(IF($N23="","",INDEX('Deltager info'!$R$6:$R$46,$N23-7)),"")</f>
        <v/>
      </c>
      <c r="K23" s="63" t="str">
        <f>IFERROR(IF($N23="","",INDEX('Deltager info'!$S$6:$S$46,$N23-7)),"")</f>
        <v/>
      </c>
      <c r="L23" s="66"/>
      <c r="M23" s="1" t="str">
        <f>IFERROR(IF('Deltager info'!$A23="","",'Deltager info'!$A23+ROW('Deltager info'!$A23)/1000000),"")</f>
        <v/>
      </c>
      <c r="N23" s="1" t="str">
        <f>IFERROR(MATCH(SMALL($M$6:$M$46,18),$M$6:$M$46,0)+7,"")</f>
        <v/>
      </c>
    </row>
    <row r="24" spans="1:14" ht="10.5" customHeight="1">
      <c r="A24" s="61" t="str">
        <f>IFERROR(IF($N24="","",INDEX('Deltager info'!$A$6:$A$46,$N24-7)),"")</f>
        <v/>
      </c>
      <c r="B24" s="62" t="str">
        <f>IFERROR(IF($N24="","",INDEX('Deltager info'!$B$6:$B$46,$N24-7)),"")</f>
        <v/>
      </c>
      <c r="C24" s="62" t="str">
        <f>IFERROR(IF($N24="","",INDEX('Deltager info'!$C$6:$C$46,$N24-7)),"")</f>
        <v/>
      </c>
      <c r="D24" s="72"/>
      <c r="E24" s="62" t="str">
        <f>IFERROR(IF($N24="","",INDEX('Deltager info'!$J$6:$J$46,$N24-7)),"")</f>
        <v/>
      </c>
      <c r="F24" s="62" t="str">
        <f>IFERROR(IF($N24="","",INDEX('Deltager info'!$N$6:$N$46,$N24-7)),"")</f>
        <v/>
      </c>
      <c r="G24" s="63" t="str">
        <f>IFERROR(IF($N24="","",INDEX('Deltager info'!$O$6:$O$46,$N24-7)),"")</f>
        <v/>
      </c>
      <c r="H24" s="63" t="str">
        <f>IFERROR(IF($N24="","",INDEX('Deltager info'!$P$6:$P$46,$N24-7)),"")</f>
        <v/>
      </c>
      <c r="I24" s="63" t="str">
        <f>IFERROR(IF($N24="","",INDEX('Deltager info'!$Q$6:$Q$46,$N24-7)),"")</f>
        <v/>
      </c>
      <c r="J24" s="63" t="str">
        <f>IFERROR(IF($N24="","",INDEX('Deltager info'!$R$6:$R$46,$N24-7)),"")</f>
        <v/>
      </c>
      <c r="K24" s="63" t="str">
        <f>IFERROR(IF($N24="","",INDEX('Deltager info'!$S$6:$S$46,$N24-7)),"")</f>
        <v/>
      </c>
      <c r="L24" s="66"/>
      <c r="M24" s="1" t="str">
        <f>IFERROR(IF('Deltager info'!$A24="","",'Deltager info'!$A24+ROW('Deltager info'!$A24)/1000000),"")</f>
        <v/>
      </c>
      <c r="N24" s="1" t="str">
        <f>IFERROR(MATCH(SMALL($M$6:$M$46,19),$M$6:$M$46,0)+7,"")</f>
        <v/>
      </c>
    </row>
    <row r="25" spans="1:14" ht="10.5" customHeight="1">
      <c r="A25" s="61" t="str">
        <f>IFERROR(IF($N25="","",INDEX('Deltager info'!$A$6:$A$46,$N25-7)),"")</f>
        <v/>
      </c>
      <c r="B25" s="62" t="str">
        <f>IFERROR(IF($N25="","",INDEX('Deltager info'!$B$6:$B$46,$N25-7)),"")</f>
        <v/>
      </c>
      <c r="C25" s="62" t="str">
        <f>IFERROR(IF($N25="","",INDEX('Deltager info'!$C$6:$C$46,$N25-7)),"")</f>
        <v/>
      </c>
      <c r="D25" s="72"/>
      <c r="E25" s="62" t="str">
        <f>IFERROR(IF($N25="","",INDEX('Deltager info'!$J$6:$J$46,$N25-7)),"")</f>
        <v/>
      </c>
      <c r="F25" s="62" t="str">
        <f>IFERROR(IF($N25="","",INDEX('Deltager info'!$N$6:$N$46,$N25-7)),"")</f>
        <v/>
      </c>
      <c r="G25" s="63" t="str">
        <f>IFERROR(IF($N25="","",INDEX('Deltager info'!$O$6:$O$46,$N25-7)),"")</f>
        <v/>
      </c>
      <c r="H25" s="63" t="str">
        <f>IFERROR(IF($N25="","",INDEX('Deltager info'!$P$6:$P$46,$N25-7)),"")</f>
        <v/>
      </c>
      <c r="I25" s="63" t="str">
        <f>IFERROR(IF($N25="","",INDEX('Deltager info'!$Q$6:$Q$46,$N25-7)),"")</f>
        <v/>
      </c>
      <c r="J25" s="63" t="str">
        <f>IFERROR(IF($N25="","",INDEX('Deltager info'!$R$6:$R$46,$N25-7)),"")</f>
        <v/>
      </c>
      <c r="K25" s="63" t="str">
        <f>IFERROR(IF($N25="","",INDEX('Deltager info'!$S$6:$S$46,$N25-7)),"")</f>
        <v/>
      </c>
      <c r="L25" s="66"/>
      <c r="M25" s="1" t="str">
        <f>IFERROR(IF('Deltager info'!$A25="","",'Deltager info'!$A25+ROW('Deltager info'!$A25)/1000000),"")</f>
        <v/>
      </c>
      <c r="N25" s="1" t="str">
        <f>IFERROR(MATCH(SMALL($M$6:$M$46,20),$M$6:$M$46,0)+7,"")</f>
        <v/>
      </c>
    </row>
    <row r="26" spans="1:14" ht="10.5" customHeight="1">
      <c r="A26" s="61" t="str">
        <f>IFERROR(IF($N26="","",INDEX('Deltager info'!$A$6:$A$46,$N26-7)),"")</f>
        <v/>
      </c>
      <c r="B26" s="62" t="str">
        <f>IFERROR(IF($N26="","",INDEX('Deltager info'!$B$6:$B$46,$N26-7)),"")</f>
        <v/>
      </c>
      <c r="C26" s="62" t="str">
        <f>IFERROR(IF($N26="","",INDEX('Deltager info'!$C$6:$C$46,$N26-7)),"")</f>
        <v/>
      </c>
      <c r="D26" s="72"/>
      <c r="E26" s="62" t="str">
        <f>IFERROR(IF($N26="","",INDEX('Deltager info'!$J$6:$J$46,$N26-7)),"")</f>
        <v/>
      </c>
      <c r="F26" s="62" t="str">
        <f>IFERROR(IF($N26="","",INDEX('Deltager info'!$N$6:$N$46,$N26-7)),"")</f>
        <v/>
      </c>
      <c r="G26" s="63" t="str">
        <f>IFERROR(IF($N26="","",INDEX('Deltager info'!$O$6:$O$46,$N26-7)),"")</f>
        <v/>
      </c>
      <c r="H26" s="63" t="str">
        <f>IFERROR(IF($N26="","",INDEX('Deltager info'!$P$6:$P$46,$N26-7)),"")</f>
        <v/>
      </c>
      <c r="I26" s="63" t="str">
        <f>IFERROR(IF($N26="","",INDEX('Deltager info'!$Q$6:$Q$46,$N26-7)),"")</f>
        <v/>
      </c>
      <c r="J26" s="63" t="str">
        <f>IFERROR(IF($N26="","",INDEX('Deltager info'!$R$6:$R$46,$N26-7)),"")</f>
        <v/>
      </c>
      <c r="K26" s="63" t="str">
        <f>IFERROR(IF($N26="","",INDEX('Deltager info'!$S$6:$S$46,$N26-7)),"")</f>
        <v/>
      </c>
      <c r="L26" s="66"/>
      <c r="M26" s="66"/>
      <c r="N26" s="1" t="str">
        <f>IFERROR(MATCH(SMALL($M$6:$M$46,21),$M$6:$M$46,0)+7,"")</f>
        <v/>
      </c>
    </row>
    <row r="27" spans="1:14" ht="10.5" customHeight="1">
      <c r="A27" s="61" t="str">
        <f>IFERROR(IF($N27="","",INDEX('Deltager info'!$A$6:$A$46,$N27-7)),"")</f>
        <v/>
      </c>
      <c r="B27" s="62" t="str">
        <f>IFERROR(IF($N27="","",INDEX('Deltager info'!$B$6:$B$46,$N27-7)),"")</f>
        <v/>
      </c>
      <c r="C27" s="62" t="str">
        <f>IFERROR(IF($N27="","",INDEX('Deltager info'!$C$6:$C$46,$N27-7)),"")</f>
        <v/>
      </c>
      <c r="D27" s="72"/>
      <c r="E27" s="62" t="str">
        <f>IFERROR(IF($N27="","",INDEX('Deltager info'!$J$6:$J$46,$N27-7)),"")</f>
        <v/>
      </c>
      <c r="F27" s="62" t="str">
        <f>IFERROR(IF($N27="","",INDEX('Deltager info'!$N$6:$N$46,$N27-7)),"")</f>
        <v/>
      </c>
      <c r="G27" s="63" t="str">
        <f>IFERROR(IF($N27="","",INDEX('Deltager info'!$O$6:$O$46,$N27-7)),"")</f>
        <v/>
      </c>
      <c r="H27" s="63" t="str">
        <f>IFERROR(IF($N27="","",INDEX('Deltager info'!$P$6:$P$46,$N27-7)),"")</f>
        <v/>
      </c>
      <c r="I27" s="63" t="str">
        <f>IFERROR(IF($N27="","",INDEX('Deltager info'!$Q$6:$Q$46,$N27-7)),"")</f>
        <v/>
      </c>
      <c r="J27" s="63" t="str">
        <f>IFERROR(IF($N27="","",INDEX('Deltager info'!$R$6:$R$46,$N27-7)),"")</f>
        <v/>
      </c>
      <c r="K27" s="63" t="str">
        <f>IFERROR(IF($N27="","",INDEX('Deltager info'!$S$6:$S$46,$N27-7)),"")</f>
        <v/>
      </c>
      <c r="L27" s="66"/>
      <c r="M27" s="1" t="str">
        <f>IFERROR(IF('Deltager info'!$A27="","",'Deltager info'!$A27+ROW('Deltager info'!$A27)/1000000),"")</f>
        <v/>
      </c>
      <c r="N27" s="1" t="str">
        <f>IFERROR(MATCH(SMALL($M$6:$M$46,22),$M$6:$M$46,0)+7,"")</f>
        <v/>
      </c>
    </row>
    <row r="28" spans="1:14" ht="10.5" customHeight="1">
      <c r="A28" s="61" t="str">
        <f>IFERROR(IF($N28="","",INDEX('Deltager info'!$A$6:$A$46,$N28-7)),"")</f>
        <v/>
      </c>
      <c r="B28" s="62" t="str">
        <f>IFERROR(IF($N28="","",INDEX('Deltager info'!$B$6:$B$46,$N28-7)),"")</f>
        <v/>
      </c>
      <c r="C28" s="62" t="str">
        <f>IFERROR(IF($N28="","",INDEX('Deltager info'!$C$6:$C$46,$N28-7)),"")</f>
        <v/>
      </c>
      <c r="D28" s="72"/>
      <c r="E28" s="62" t="str">
        <f>IFERROR(IF($N28="","",INDEX('Deltager info'!$J$6:$J$46,$N28-7)),"")</f>
        <v/>
      </c>
      <c r="F28" s="62" t="str">
        <f>IFERROR(IF($N28="","",INDEX('Deltager info'!$N$6:$N$46,$N28-7)),"")</f>
        <v/>
      </c>
      <c r="G28" s="63" t="str">
        <f>IFERROR(IF($N28="","",INDEX('Deltager info'!$O$6:$O$46,$N28-7)),"")</f>
        <v/>
      </c>
      <c r="H28" s="63" t="str">
        <f>IFERROR(IF($N28="","",INDEX('Deltager info'!$P$6:$P$46,$N28-7)),"")</f>
        <v/>
      </c>
      <c r="I28" s="63" t="str">
        <f>IFERROR(IF($N28="","",INDEX('Deltager info'!$Q$6:$Q$46,$N28-7)),"")</f>
        <v/>
      </c>
      <c r="J28" s="63" t="str">
        <f>IFERROR(IF($N28="","",INDEX('Deltager info'!$R$6:$R$46,$N28-7)),"")</f>
        <v/>
      </c>
      <c r="K28" s="63" t="str">
        <f>IFERROR(IF($N28="","",INDEX('Deltager info'!$S$6:$S$46,$N28-7)),"")</f>
        <v/>
      </c>
      <c r="L28" s="66"/>
      <c r="M28" s="1" t="str">
        <f>IFERROR(IF('Deltager info'!$A28="","",'Deltager info'!$A28+ROW('Deltager info'!$A28)/1000000),"")</f>
        <v/>
      </c>
      <c r="N28" s="1" t="str">
        <f>IFERROR(MATCH(SMALL($M$6:$M$46,23),$M$6:$M$46,0)+7,"")</f>
        <v/>
      </c>
    </row>
    <row r="29" spans="1:14" ht="10.5" customHeight="1">
      <c r="A29" s="61" t="str">
        <f>IFERROR(IF($N29="","",INDEX('Deltager info'!$A$6:$A$46,$N29-7)),"")</f>
        <v/>
      </c>
      <c r="B29" s="62" t="str">
        <f>IFERROR(IF($N29="","",INDEX('Deltager info'!$B$6:$B$46,$N29-7)),"")</f>
        <v/>
      </c>
      <c r="C29" s="62" t="str">
        <f>IFERROR(IF($N29="","",INDEX('Deltager info'!$C$6:$C$46,$N29-7)),"")</f>
        <v/>
      </c>
      <c r="D29" s="72"/>
      <c r="E29" s="62" t="str">
        <f>IFERROR(IF($N29="","",INDEX('Deltager info'!$J$6:$J$46,$N29-7)),"")</f>
        <v/>
      </c>
      <c r="F29" s="62" t="str">
        <f>IFERROR(IF($N29="","",INDEX('Deltager info'!$N$6:$N$46,$N29-7)),"")</f>
        <v/>
      </c>
      <c r="G29" s="63" t="str">
        <f>IFERROR(IF($N29="","",INDEX('Deltager info'!$O$6:$O$46,$N29-7)),"")</f>
        <v/>
      </c>
      <c r="H29" s="63" t="str">
        <f>IFERROR(IF($N29="","",INDEX('Deltager info'!$P$6:$P$46,$N29-7)),"")</f>
        <v/>
      </c>
      <c r="I29" s="63" t="str">
        <f>IFERROR(IF($N29="","",INDEX('Deltager info'!$Q$6:$Q$46,$N29-7)),"")</f>
        <v/>
      </c>
      <c r="J29" s="63" t="str">
        <f>IFERROR(IF($N29="","",INDEX('Deltager info'!$R$6:$R$46,$N29-7)),"")</f>
        <v/>
      </c>
      <c r="K29" s="63" t="str">
        <f>IFERROR(IF($N29="","",INDEX('Deltager info'!$S$6:$S$46,$N29-7)),"")</f>
        <v/>
      </c>
      <c r="L29" s="66"/>
      <c r="M29" s="1" t="str">
        <f>IFERROR(IF('Deltager info'!$A29="","",'Deltager info'!$A29+ROW('Deltager info'!$A29)/1000000),"")</f>
        <v/>
      </c>
      <c r="N29" s="1" t="str">
        <f>IFERROR(MATCH(SMALL($M$6:$M$46,24),$M$6:$M$46,0)+7,"")</f>
        <v/>
      </c>
    </row>
    <row r="30" spans="1:14" ht="10.5" customHeight="1">
      <c r="A30" s="61" t="str">
        <f>IFERROR(IF($N30="","",INDEX('Deltager info'!$A$6:$A$46,$N30-7)),"")</f>
        <v/>
      </c>
      <c r="B30" s="62" t="str">
        <f>IFERROR(IF($N30="","",INDEX('Deltager info'!$B$6:$B$46,$N30-7)),"")</f>
        <v/>
      </c>
      <c r="C30" s="62" t="str">
        <f>IFERROR(IF($N30="","",INDEX('Deltager info'!$C$6:$C$46,$N30-7)),"")</f>
        <v/>
      </c>
      <c r="D30" s="72"/>
      <c r="E30" s="62" t="str">
        <f>IFERROR(IF($N30="","",INDEX('Deltager info'!$J$6:$J$46,$N30-7)),"")</f>
        <v/>
      </c>
      <c r="F30" s="62" t="str">
        <f>IFERROR(IF($N30="","",INDEX('Deltager info'!$N$6:$N$46,$N30-7)),"")</f>
        <v/>
      </c>
      <c r="G30" s="63" t="str">
        <f>IFERROR(IF($N30="","",INDEX('Deltager info'!$O$6:$O$46,$N30-7)),"")</f>
        <v/>
      </c>
      <c r="H30" s="63" t="str">
        <f>IFERROR(IF($N30="","",INDEX('Deltager info'!$P$6:$P$46,$N30-7)),"")</f>
        <v/>
      </c>
      <c r="I30" s="63" t="str">
        <f>IFERROR(IF($N30="","",INDEX('Deltager info'!$Q$6:$Q$46,$N30-7)),"")</f>
        <v/>
      </c>
      <c r="J30" s="63" t="str">
        <f>IFERROR(IF($N30="","",INDEX('Deltager info'!$R$6:$R$46,$N30-7)),"")</f>
        <v/>
      </c>
      <c r="K30" s="63" t="str">
        <f>IFERROR(IF($N30="","",INDEX('Deltager info'!$S$6:$S$46,$N30-7)),"")</f>
        <v/>
      </c>
      <c r="L30" s="66"/>
      <c r="M30" s="1" t="str">
        <f>IFERROR(IF('Deltager info'!$A30="","",'Deltager info'!$A30+ROW('Deltager info'!$A30)/1000000),"")</f>
        <v/>
      </c>
      <c r="N30" s="1" t="str">
        <f>IFERROR(MATCH(SMALL($M$6:$M$46,25),$M$6:$M$46,0)+7,"")</f>
        <v/>
      </c>
    </row>
    <row r="31" spans="1:14" ht="10.5" customHeight="1">
      <c r="A31" s="61" t="str">
        <f>IFERROR(IF($N31="","",INDEX('Deltager info'!$A$6:$A$46,$N31-7)),"")</f>
        <v/>
      </c>
      <c r="B31" s="62" t="str">
        <f>IFERROR(IF($N31="","",INDEX('Deltager info'!$B$6:$B$46,$N31-7)),"")</f>
        <v/>
      </c>
      <c r="C31" s="62" t="str">
        <f>IFERROR(IF($N31="","",INDEX('Deltager info'!$C$6:$C$46,$N31-7)),"")</f>
        <v/>
      </c>
      <c r="D31" s="72"/>
      <c r="E31" s="62" t="str">
        <f>IFERROR(IF($N31="","",INDEX('Deltager info'!$J$6:$J$46,$N31-7)),"")</f>
        <v/>
      </c>
      <c r="F31" s="62" t="str">
        <f>IFERROR(IF($N31="","",INDEX('Deltager info'!$N$6:$N$46,$N31-7)),"")</f>
        <v/>
      </c>
      <c r="G31" s="63" t="str">
        <f>IFERROR(IF($N31="","",INDEX('Deltager info'!$O$6:$O$46,$N31-7)),"")</f>
        <v/>
      </c>
      <c r="H31" s="63" t="str">
        <f>IFERROR(IF($N31="","",INDEX('Deltager info'!$P$6:$P$46,$N31-7)),"")</f>
        <v/>
      </c>
      <c r="I31" s="63" t="str">
        <f>IFERROR(IF($N31="","",INDEX('Deltager info'!$Q$6:$Q$46,$N31-7)),"")</f>
        <v/>
      </c>
      <c r="J31" s="63" t="str">
        <f>IFERROR(IF($N31="","",INDEX('Deltager info'!$R$6:$R$46,$N31-7)),"")</f>
        <v/>
      </c>
      <c r="K31" s="63" t="str">
        <f>IFERROR(IF($N31="","",INDEX('Deltager info'!$S$6:$S$46,$N31-7)),"")</f>
        <v/>
      </c>
      <c r="L31" s="66"/>
      <c r="M31" s="1" t="str">
        <f>IFERROR(IF('Deltager info'!$A31="","",'Deltager info'!$A31+ROW('Deltager info'!$A31)/1000000),"")</f>
        <v/>
      </c>
      <c r="N31" s="1" t="str">
        <f>IFERROR(MATCH(SMALL($M$6:$M$46,26),$M$6:$M$46,0)+7,"")</f>
        <v/>
      </c>
    </row>
    <row r="32" spans="1:14" ht="10.5" customHeight="1">
      <c r="A32" s="61" t="str">
        <f>IFERROR(IF($N32="","",INDEX('Deltager info'!$A$6:$A$46,$N32-7)),"")</f>
        <v/>
      </c>
      <c r="B32" s="62" t="str">
        <f>IFERROR(IF($N32="","",INDEX('Deltager info'!$B$6:$B$46,$N32-7)),"")</f>
        <v/>
      </c>
      <c r="C32" s="62" t="str">
        <f>IFERROR(IF($N32="","",INDEX('Deltager info'!$C$6:$C$46,$N32-7)),"")</f>
        <v/>
      </c>
      <c r="D32" s="72"/>
      <c r="E32" s="62" t="str">
        <f>IFERROR(IF($N32="","",INDEX('Deltager info'!$J$6:$J$46,$N32-7)),"")</f>
        <v/>
      </c>
      <c r="F32" s="62" t="str">
        <f>IFERROR(IF($N32="","",INDEX('Deltager info'!$N$6:$N$46,$N32-7)),"")</f>
        <v/>
      </c>
      <c r="G32" s="63" t="str">
        <f>IFERROR(IF($N32="","",INDEX('Deltager info'!$O$6:$O$46,$N32-7)),"")</f>
        <v/>
      </c>
      <c r="H32" s="63" t="str">
        <f>IFERROR(IF($N32="","",INDEX('Deltager info'!$P$6:$P$46,$N32-7)),"")</f>
        <v/>
      </c>
      <c r="I32" s="63" t="str">
        <f>IFERROR(IF($N32="","",INDEX('Deltager info'!$Q$6:$Q$46,$N32-7)),"")</f>
        <v/>
      </c>
      <c r="J32" s="63" t="str">
        <f>IFERROR(IF($N32="","",INDEX('Deltager info'!$R$6:$R$46,$N32-7)),"")</f>
        <v/>
      </c>
      <c r="K32" s="63" t="str">
        <f>IFERROR(IF($N32="","",INDEX('Deltager info'!$S$6:$S$46,$N32-7)),"")</f>
        <v/>
      </c>
      <c r="L32" s="66"/>
      <c r="M32" s="1" t="str">
        <f>IFERROR(IF('Deltager info'!$A32="","",'Deltager info'!$A32+ROW('Deltager info'!$A32)/1000000),"")</f>
        <v/>
      </c>
      <c r="N32" s="1" t="str">
        <f>IFERROR(MATCH(SMALL($M$6:$M$46,27),$M$6:$M$46,0)+7,"")</f>
        <v/>
      </c>
    </row>
    <row r="33" spans="1:14" ht="10.5" customHeight="1">
      <c r="A33" s="61" t="str">
        <f>IFERROR(IF($N33="","",INDEX('Deltager info'!$A$6:$A$46,$N33-7)),"")</f>
        <v/>
      </c>
      <c r="B33" s="62" t="str">
        <f>IFERROR(IF($N33="","",INDEX('Deltager info'!$B$6:$B$46,$N33-7)),"")</f>
        <v/>
      </c>
      <c r="C33" s="62" t="str">
        <f>IFERROR(IF($N33="","",INDEX('Deltager info'!$C$6:$C$46,$N33-7)),"")</f>
        <v/>
      </c>
      <c r="D33" s="72"/>
      <c r="E33" s="62" t="str">
        <f>IFERROR(IF($N33="","",INDEX('Deltager info'!$J$6:$J$46,$N33-7)),"")</f>
        <v/>
      </c>
      <c r="F33" s="62" t="str">
        <f>IFERROR(IF($N33="","",INDEX('Deltager info'!$N$6:$N$46,$N33-7)),"")</f>
        <v/>
      </c>
      <c r="G33" s="63" t="str">
        <f>IFERROR(IF($N33="","",INDEX('Deltager info'!$O$6:$O$46,$N33-7)),"")</f>
        <v/>
      </c>
      <c r="H33" s="63" t="str">
        <f>IFERROR(IF($N33="","",INDEX('Deltager info'!$P$6:$P$46,$N33-7)),"")</f>
        <v/>
      </c>
      <c r="I33" s="63" t="str">
        <f>IFERROR(IF($N33="","",INDEX('Deltager info'!$Q$6:$Q$46,$N33-7)),"")</f>
        <v/>
      </c>
      <c r="J33" s="63" t="str">
        <f>IFERROR(IF($N33="","",INDEX('Deltager info'!$R$6:$R$46,$N33-7)),"")</f>
        <v/>
      </c>
      <c r="K33" s="63" t="str">
        <f>IFERROR(IF($N33="","",INDEX('Deltager info'!$S$6:$S$46,$N33-7)),"")</f>
        <v/>
      </c>
      <c r="L33" s="66"/>
      <c r="M33" s="1" t="str">
        <f>IFERROR(IF('Deltager info'!$A33="","",'Deltager info'!$A33+ROW('Deltager info'!$A33)/1000000),"")</f>
        <v/>
      </c>
      <c r="N33" s="1" t="str">
        <f>IFERROR(MATCH(SMALL($M$6:$M$46,28),$M$6:$M$46,0)+7,"")</f>
        <v/>
      </c>
    </row>
    <row r="34" spans="1:14" ht="10.5" customHeight="1">
      <c r="A34" s="61" t="str">
        <f>IFERROR(IF($N34="","",INDEX('Deltager info'!$A$6:$A$46,$N34-7)),"")</f>
        <v/>
      </c>
      <c r="B34" s="62" t="str">
        <f>IFERROR(IF($N34="","",INDEX('Deltager info'!$B$6:$B$46,$N34-7)),"")</f>
        <v/>
      </c>
      <c r="C34" s="62" t="str">
        <f>IFERROR(IF($N34="","",INDEX('Deltager info'!$C$6:$C$46,$N34-7)),"")</f>
        <v/>
      </c>
      <c r="D34" s="72"/>
      <c r="E34" s="62" t="str">
        <f>IFERROR(IF($N34="","",INDEX('Deltager info'!$J$6:$J$46,$N34-7)),"")</f>
        <v/>
      </c>
      <c r="F34" s="62" t="str">
        <f>IFERROR(IF($N34="","",INDEX('Deltager info'!$N$6:$N$46,$N34-7)),"")</f>
        <v/>
      </c>
      <c r="G34" s="63" t="str">
        <f>IFERROR(IF($N34="","",INDEX('Deltager info'!$O$6:$O$46,$N34-7)),"")</f>
        <v/>
      </c>
      <c r="H34" s="63" t="str">
        <f>IFERROR(IF($N34="","",INDEX('Deltager info'!$P$6:$P$46,$N34-7)),"")</f>
        <v/>
      </c>
      <c r="I34" s="63" t="str">
        <f>IFERROR(IF($N34="","",INDEX('Deltager info'!$Q$6:$Q$46,$N34-7)),"")</f>
        <v/>
      </c>
      <c r="J34" s="63" t="str">
        <f>IFERROR(IF($N34="","",INDEX('Deltager info'!$R$6:$R$46,$N34-7)),"")</f>
        <v/>
      </c>
      <c r="K34" s="63" t="str">
        <f>IFERROR(IF($N34="","",INDEX('Deltager info'!$S$6:$S$46,$N34-7)),"")</f>
        <v/>
      </c>
      <c r="L34" s="66"/>
      <c r="M34" s="1" t="str">
        <f>IFERROR(IF('Deltager info'!$A34="","",'Deltager info'!$A34+ROW('Deltager info'!$A34)/1000000),"")</f>
        <v/>
      </c>
      <c r="N34" s="1" t="str">
        <f>IFERROR(MATCH(SMALL($M$6:$M$46,29),$M$6:$M$46,0)+7,"")</f>
        <v/>
      </c>
    </row>
    <row r="35" spans="1:14" ht="10.5" customHeight="1">
      <c r="A35" s="61" t="str">
        <f>IFERROR(IF($N35="","",INDEX('Deltager info'!$A$6:$A$46,$N35-7)),"")</f>
        <v/>
      </c>
      <c r="B35" s="62" t="str">
        <f>IFERROR(IF($N35="","",INDEX('Deltager info'!$B$6:$B$46,$N35-7)),"")</f>
        <v/>
      </c>
      <c r="C35" s="62" t="str">
        <f>IFERROR(IF($N35="","",INDEX('Deltager info'!$C$6:$C$46,$N35-7)),"")</f>
        <v/>
      </c>
      <c r="D35" s="72"/>
      <c r="E35" s="62" t="str">
        <f>IFERROR(IF($N35="","",INDEX('Deltager info'!$J$6:$J$46,$N35-7)),"")</f>
        <v/>
      </c>
      <c r="F35" s="62" t="str">
        <f>IFERROR(IF($N35="","",INDEX('Deltager info'!$N$6:$N$46,$N35-7)),"")</f>
        <v/>
      </c>
      <c r="G35" s="63" t="str">
        <f>IFERROR(IF($N35="","",INDEX('Deltager info'!$O$6:$O$46,$N35-7)),"")</f>
        <v/>
      </c>
      <c r="H35" s="63" t="str">
        <f>IFERROR(IF($N35="","",INDEX('Deltager info'!$P$6:$P$46,$N35-7)),"")</f>
        <v/>
      </c>
      <c r="I35" s="63" t="str">
        <f>IFERROR(IF($N35="","",INDEX('Deltager info'!$Q$6:$Q$46,$N35-7)),"")</f>
        <v/>
      </c>
      <c r="J35" s="63" t="str">
        <f>IFERROR(IF($N35="","",INDEX('Deltager info'!$R$6:$R$46,$N35-7)),"")</f>
        <v/>
      </c>
      <c r="K35" s="63" t="str">
        <f>IFERROR(IF($N35="","",INDEX('Deltager info'!$S$6:$S$46,$N35-7)),"")</f>
        <v/>
      </c>
      <c r="L35" s="66"/>
      <c r="M35" s="1" t="str">
        <f>IFERROR(IF('Deltager info'!$A35="","",'Deltager info'!$A35+ROW('Deltager info'!$A35)/1000000),"")</f>
        <v/>
      </c>
      <c r="N35" s="1" t="str">
        <f>IFERROR(MATCH(SMALL($M$6:$M$46,30),$M$6:$M$46,0)+7,"")</f>
        <v/>
      </c>
    </row>
    <row r="36" spans="1:14" ht="10.5" customHeight="1">
      <c r="A36" s="61" t="str">
        <f>IFERROR(IF($N36="","",INDEX('Deltager info'!$A$6:$A$46,$N36-7)),"")</f>
        <v/>
      </c>
      <c r="B36" s="62" t="str">
        <f>IFERROR(IF($N36="","",INDEX('Deltager info'!$B$6:$B$46,$N36-7)),"")</f>
        <v/>
      </c>
      <c r="C36" s="62" t="str">
        <f>IFERROR(IF($N36="","",INDEX('Deltager info'!$C$6:$C$46,$N36-7)),"")</f>
        <v/>
      </c>
      <c r="D36" s="72"/>
      <c r="E36" s="62" t="str">
        <f>IFERROR(IF($N36="","",INDEX('Deltager info'!$J$6:$J$46,$N36-7)),"")</f>
        <v/>
      </c>
      <c r="F36" s="62" t="str">
        <f>IFERROR(IF($N36="","",INDEX('Deltager info'!$N$6:$N$46,$N36-7)),"")</f>
        <v/>
      </c>
      <c r="G36" s="63" t="str">
        <f>IFERROR(IF($N36="","",INDEX('Deltager info'!$O$6:$O$46,$N36-7)),"")</f>
        <v/>
      </c>
      <c r="H36" s="63" t="str">
        <f>IFERROR(IF($N36="","",INDEX('Deltager info'!$P$6:$P$46,$N36-7)),"")</f>
        <v/>
      </c>
      <c r="I36" s="63" t="str">
        <f>IFERROR(IF($N36="","",INDEX('Deltager info'!$Q$6:$Q$46,$N36-7)),"")</f>
        <v/>
      </c>
      <c r="J36" s="63" t="str">
        <f>IFERROR(IF($N36="","",INDEX('Deltager info'!$R$6:$R$46,$N36-7)),"")</f>
        <v/>
      </c>
      <c r="K36" s="63" t="str">
        <f>IFERROR(IF($N36="","",INDEX('Deltager info'!$S$6:$S$46,$N36-7)),"")</f>
        <v/>
      </c>
      <c r="L36" s="66"/>
      <c r="M36" s="1" t="str">
        <f>IFERROR(IF('Deltager info'!$A36="","",'Deltager info'!$A36+ROW('Deltager info'!$A36)/1000000),"")</f>
        <v/>
      </c>
      <c r="N36" s="1" t="str">
        <f>IFERROR(MATCH(SMALL($M$6:$M$46,31),$M$6:$M$46,0)+7,"")</f>
        <v/>
      </c>
    </row>
    <row r="37" spans="1:14" ht="10.5" customHeight="1">
      <c r="A37" s="61" t="str">
        <f>IFERROR(IF($N37="","",INDEX('Deltager info'!$A$6:$A$46,$N37-7)),"")</f>
        <v/>
      </c>
      <c r="B37" s="62" t="str">
        <f>IFERROR(IF($N37="","",INDEX('Deltager info'!$B$6:$B$46,$N37-7)),"")</f>
        <v/>
      </c>
      <c r="C37" s="62" t="str">
        <f>IFERROR(IF($N37="","",INDEX('Deltager info'!$C$6:$C$46,$N37-7)),"")</f>
        <v/>
      </c>
      <c r="D37" s="72"/>
      <c r="E37" s="62" t="str">
        <f>IFERROR(IF($N37="","",INDEX('Deltager info'!$J$6:$J$46,$N37-7)),"")</f>
        <v/>
      </c>
      <c r="F37" s="62" t="str">
        <f>IFERROR(IF($N37="","",INDEX('Deltager info'!$N$6:$N$46,$N37-7)),"")</f>
        <v/>
      </c>
      <c r="G37" s="63" t="str">
        <f>IFERROR(IF($N37="","",INDEX('Deltager info'!$O$6:$O$46,$N37-7)),"")</f>
        <v/>
      </c>
      <c r="H37" s="63" t="str">
        <f>IFERROR(IF($N37="","",INDEX('Deltager info'!$P$6:$P$46,$N37-7)),"")</f>
        <v/>
      </c>
      <c r="I37" s="63" t="str">
        <f>IFERROR(IF($N37="","",INDEX('Deltager info'!$Q$6:$Q$46,$N37-7)),"")</f>
        <v/>
      </c>
      <c r="J37" s="63" t="str">
        <f>IFERROR(IF($N37="","",INDEX('Deltager info'!$R$6:$R$46,$N37-7)),"")</f>
        <v/>
      </c>
      <c r="K37" s="63" t="str">
        <f>IFERROR(IF($N37="","",INDEX('Deltager info'!$S$6:$S$46,$N37-7)),"")</f>
        <v/>
      </c>
      <c r="L37" s="66"/>
      <c r="M37" s="1" t="str">
        <f>IFERROR(IF('Deltager info'!$A37="","",'Deltager info'!$A37+ROW('Deltager info'!$A37)/1000000),"")</f>
        <v/>
      </c>
      <c r="N37" s="1" t="str">
        <f>IFERROR(MATCH(SMALL($M$6:$M$46,32),$M$6:$M$46,0)+7,"")</f>
        <v/>
      </c>
    </row>
    <row r="38" spans="1:14" ht="10.5" customHeight="1">
      <c r="A38" s="61" t="str">
        <f>IFERROR(IF($N38="","",INDEX('Deltager info'!$A$6:$A$46,$N38-7)),"")</f>
        <v/>
      </c>
      <c r="B38" s="62" t="str">
        <f>IFERROR(IF($N38="","",INDEX('Deltager info'!$B$6:$B$46,$N38-7)),"")</f>
        <v/>
      </c>
      <c r="C38" s="62" t="str">
        <f>IFERROR(IF($N38="","",INDEX('Deltager info'!$C$6:$C$46,$N38-7)),"")</f>
        <v/>
      </c>
      <c r="D38" s="72"/>
      <c r="E38" s="62" t="str">
        <f>IFERROR(IF($N38="","",INDEX('Deltager info'!$J$6:$J$46,$N38-7)),"")</f>
        <v/>
      </c>
      <c r="F38" s="62" t="str">
        <f>IFERROR(IF($N38="","",INDEX('Deltager info'!$N$6:$N$46,$N38-7)),"")</f>
        <v/>
      </c>
      <c r="G38" s="63" t="str">
        <f>IFERROR(IF($N38="","",INDEX('Deltager info'!$O$6:$O$46,$N38-7)),"")</f>
        <v/>
      </c>
      <c r="H38" s="63" t="str">
        <f>IFERROR(IF($N38="","",INDEX('Deltager info'!$P$6:$P$46,$N38-7)),"")</f>
        <v/>
      </c>
      <c r="I38" s="63" t="str">
        <f>IFERROR(IF($N38="","",INDEX('Deltager info'!$Q$6:$Q$46,$N38-7)),"")</f>
        <v/>
      </c>
      <c r="J38" s="63" t="str">
        <f>IFERROR(IF($N38="","",INDEX('Deltager info'!$R$6:$R$46,$N38-7)),"")</f>
        <v/>
      </c>
      <c r="K38" s="63" t="str">
        <f>IFERROR(IF($N38="","",INDEX('Deltager info'!$S$6:$S$46,$N38-7)),"")</f>
        <v/>
      </c>
      <c r="L38" s="66"/>
      <c r="M38" s="1" t="str">
        <f>IFERROR(IF('Deltager info'!$A38="","",'Deltager info'!$A38+ROW('Deltager info'!$A38)/1000000),"")</f>
        <v/>
      </c>
      <c r="N38" s="1" t="str">
        <f>IFERROR(MATCH(SMALL($M$6:$M$46,33),$M$6:$M$46,0)+7,"")</f>
        <v/>
      </c>
    </row>
    <row r="39" spans="1:14" ht="10.5" customHeight="1">
      <c r="A39" s="61" t="str">
        <f>IFERROR(IF($N39="","",INDEX('Deltager info'!$A$6:$A$46,$N39-7)),"")</f>
        <v/>
      </c>
      <c r="B39" s="62" t="str">
        <f>IFERROR(IF($N39="","",INDEX('Deltager info'!$B$6:$B$46,$N39-7)),"")</f>
        <v/>
      </c>
      <c r="C39" s="62" t="str">
        <f>IFERROR(IF($N39="","",INDEX('Deltager info'!$C$6:$C$46,$N39-7)),"")</f>
        <v/>
      </c>
      <c r="D39" s="72"/>
      <c r="E39" s="62" t="str">
        <f>IFERROR(IF($N39="","",INDEX('Deltager info'!$J$6:$J$46,$N39-7)),"")</f>
        <v/>
      </c>
      <c r="F39" s="62" t="str">
        <f>IFERROR(IF($N39="","",INDEX('Deltager info'!$N$6:$N$46,$N39-7)),"")</f>
        <v/>
      </c>
      <c r="G39" s="63" t="str">
        <f>IFERROR(IF($N39="","",INDEX('Deltager info'!$O$6:$O$46,$N39-7)),"")</f>
        <v/>
      </c>
      <c r="H39" s="63" t="str">
        <f>IFERROR(IF($N39="","",INDEX('Deltager info'!$P$6:$P$46,$N39-7)),"")</f>
        <v/>
      </c>
      <c r="I39" s="63" t="str">
        <f>IFERROR(IF($N39="","",INDEX('Deltager info'!$Q$6:$Q$46,$N39-7)),"")</f>
        <v/>
      </c>
      <c r="J39" s="63" t="str">
        <f>IFERROR(IF($N39="","",INDEX('Deltager info'!$R$6:$R$46,$N39-7)),"")</f>
        <v/>
      </c>
      <c r="K39" s="63" t="str">
        <f>IFERROR(IF($N39="","",INDEX('Deltager info'!$S$6:$S$46,$N39-7)),"")</f>
        <v/>
      </c>
      <c r="L39" s="66"/>
      <c r="M39" s="1" t="str">
        <f>IFERROR(IF('Deltager info'!$A39="","",'Deltager info'!$A39+ROW('Deltager info'!$A39)/1000000),"")</f>
        <v/>
      </c>
      <c r="N39" s="1" t="str">
        <f>IFERROR(MATCH(SMALL($M$6:$M$46,34),$M$6:$M$46,0)+7,"")</f>
        <v/>
      </c>
    </row>
    <row r="40" spans="1:14" ht="10.5" customHeight="1">
      <c r="A40" s="61" t="str">
        <f>IFERROR(IF($N40="","",INDEX('Deltager info'!$A$6:$A$46,$N40-7)),"")</f>
        <v/>
      </c>
      <c r="B40" s="62" t="str">
        <f>IFERROR(IF($N40="","",INDEX('Deltager info'!$B$6:$B$46,$N40-7)),"")</f>
        <v/>
      </c>
      <c r="C40" s="62" t="str">
        <f>IFERROR(IF($N40="","",INDEX('Deltager info'!$C$6:$C$46,$N40-7)),"")</f>
        <v/>
      </c>
      <c r="D40" s="72"/>
      <c r="E40" s="62" t="str">
        <f>IFERROR(IF($N40="","",INDEX('Deltager info'!$J$6:$J$46,$N40-7)),"")</f>
        <v/>
      </c>
      <c r="F40" s="62" t="str">
        <f>IFERROR(IF($N40="","",INDEX('Deltager info'!$N$6:$N$46,$N40-7)),"")</f>
        <v/>
      </c>
      <c r="G40" s="63" t="str">
        <f>IFERROR(IF($N40="","",INDEX('Deltager info'!$O$6:$O$46,$N40-7)),"")</f>
        <v/>
      </c>
      <c r="H40" s="63" t="str">
        <f>IFERROR(IF($N40="","",INDEX('Deltager info'!$P$6:$P$46,$N40-7)),"")</f>
        <v/>
      </c>
      <c r="I40" s="63" t="str">
        <f>IFERROR(IF($N40="","",INDEX('Deltager info'!$Q$6:$Q$46,$N40-7)),"")</f>
        <v/>
      </c>
      <c r="J40" s="63" t="str">
        <f>IFERROR(IF($N40="","",INDEX('Deltager info'!$R$6:$R$46,$N40-7)),"")</f>
        <v/>
      </c>
      <c r="K40" s="63" t="str">
        <f>IFERROR(IF($N40="","",INDEX('Deltager info'!$S$6:$S$46,$N40-7)),"")</f>
        <v/>
      </c>
      <c r="L40" s="66"/>
      <c r="M40" s="1" t="str">
        <f>IFERROR(IF('Deltager info'!$A40="","",'Deltager info'!$A40+ROW('Deltager info'!$A40)/1000000),"")</f>
        <v/>
      </c>
      <c r="N40" s="1" t="str">
        <f>IFERROR(MATCH(SMALL($M$6:$M$46,35),$M$6:$M$46,0)+7,"")</f>
        <v/>
      </c>
    </row>
    <row r="41" spans="1:14" ht="10.5" customHeight="1">
      <c r="A41" s="61" t="str">
        <f>IFERROR(IF($N41="","",INDEX('Deltager info'!$A$6:$A$46,$N41-7)),"")</f>
        <v/>
      </c>
      <c r="B41" s="62" t="str">
        <f>IFERROR(IF($N41="","",INDEX('Deltager info'!$B$6:$B$46,$N41-7)),"")</f>
        <v/>
      </c>
      <c r="C41" s="62" t="str">
        <f>IFERROR(IF($N41="","",INDEX('Deltager info'!$C$6:$C$46,$N41-7)),"")</f>
        <v/>
      </c>
      <c r="D41" s="72"/>
      <c r="E41" s="62" t="str">
        <f>IFERROR(IF($N41="","",INDEX('Deltager info'!$J$6:$J$46,$N41-7)),"")</f>
        <v/>
      </c>
      <c r="F41" s="62" t="str">
        <f>IFERROR(IF($N41="","",INDEX('Deltager info'!$N$6:$N$46,$N41-7)),"")</f>
        <v/>
      </c>
      <c r="G41" s="63" t="str">
        <f>IFERROR(IF($N41="","",INDEX('Deltager info'!$O$6:$O$46,$N41-7)),"")</f>
        <v/>
      </c>
      <c r="H41" s="63" t="str">
        <f>IFERROR(IF($N41="","",INDEX('Deltager info'!$P$6:$P$46,$N41-7)),"")</f>
        <v/>
      </c>
      <c r="I41" s="63" t="str">
        <f>IFERROR(IF($N41="","",INDEX('Deltager info'!$Q$6:$Q$46,$N41-7)),"")</f>
        <v/>
      </c>
      <c r="J41" s="63" t="str">
        <f>IFERROR(IF($N41="","",INDEX('Deltager info'!$R$6:$R$46,$N41-7)),"")</f>
        <v/>
      </c>
      <c r="K41" s="63" t="str">
        <f>IFERROR(IF($N41="","",INDEX('Deltager info'!$S$6:$S$46,$N41-7)),"")</f>
        <v/>
      </c>
      <c r="L41" s="66"/>
      <c r="M41" s="1" t="str">
        <f>IFERROR(IF('Deltager info'!$A41="","",'Deltager info'!$A41+ROW('Deltager info'!$A41)/1000000),"")</f>
        <v/>
      </c>
      <c r="N41" s="1" t="str">
        <f>IFERROR(MATCH(SMALL($M$6:$M$46,36),$M$6:$M$46,0)+7,"")</f>
        <v/>
      </c>
    </row>
    <row r="42" spans="1:14" ht="10.5" customHeight="1">
      <c r="A42" s="61" t="str">
        <f>IFERROR(IF($N42="","",INDEX('Deltager info'!$A$6:$A$46,$N42-7)),"")</f>
        <v/>
      </c>
      <c r="B42" s="62" t="str">
        <f>IFERROR(IF($N42="","",INDEX('Deltager info'!$B$6:$B$46,$N42-7)),"")</f>
        <v/>
      </c>
      <c r="C42" s="62" t="str">
        <f>IFERROR(IF($N42="","",INDEX('Deltager info'!$C$6:$C$46,$N42-7)),"")</f>
        <v/>
      </c>
      <c r="D42" s="72"/>
      <c r="E42" s="62" t="str">
        <f>IFERROR(IF($N42="","",INDEX('Deltager info'!$J$6:$J$46,$N42-7)),"")</f>
        <v/>
      </c>
      <c r="F42" s="62" t="str">
        <f>IFERROR(IF($N42="","",INDEX('Deltager info'!$N$6:$N$46,$N42-7)),"")</f>
        <v/>
      </c>
      <c r="G42" s="63" t="str">
        <f>IFERROR(IF($N42="","",INDEX('Deltager info'!$O$6:$O$46,$N42-7)),"")</f>
        <v/>
      </c>
      <c r="H42" s="63" t="str">
        <f>IFERROR(IF($N42="","",INDEX('Deltager info'!$P$6:$P$46,$N42-7)),"")</f>
        <v/>
      </c>
      <c r="I42" s="63" t="str">
        <f>IFERROR(IF($N42="","",INDEX('Deltager info'!$Q$6:$Q$46,$N42-7)),"")</f>
        <v/>
      </c>
      <c r="J42" s="63" t="str">
        <f>IFERROR(IF($N42="","",INDEX('Deltager info'!$R$6:$R$46,$N42-7)),"")</f>
        <v/>
      </c>
      <c r="K42" s="63" t="str">
        <f>IFERROR(IF($N42="","",INDEX('Deltager info'!$S$6:$S$46,$N42-7)),"")</f>
        <v/>
      </c>
      <c r="L42" s="66"/>
      <c r="M42" s="1" t="str">
        <f>IFERROR(IF('Deltager info'!$A42="","",'Deltager info'!$A42+ROW('Deltager info'!$A42)/1000000),"")</f>
        <v/>
      </c>
      <c r="N42" s="1" t="str">
        <f>IFERROR(MATCH(SMALL($M$6:$M$46,37),$M$6:$M$46,0)+7,"")</f>
        <v/>
      </c>
    </row>
    <row r="43" spans="1:14" ht="10.5" customHeight="1">
      <c r="A43" s="61" t="str">
        <f>IFERROR(IF($N43="","",INDEX('Deltager info'!$A$6:$A$46,$N43-7)),"")</f>
        <v/>
      </c>
      <c r="B43" s="62" t="str">
        <f>IFERROR(IF($N43="","",INDEX('Deltager info'!$B$6:$B$46,$N43-7)),"")</f>
        <v/>
      </c>
      <c r="C43" s="62" t="str">
        <f>IFERROR(IF($N43="","",INDEX('Deltager info'!$C$6:$C$46,$N43-7)),"")</f>
        <v/>
      </c>
      <c r="D43" s="72"/>
      <c r="E43" s="62" t="str">
        <f>IFERROR(IF($N43="","",INDEX('Deltager info'!$J$6:$J$46,$N43-7)),"")</f>
        <v/>
      </c>
      <c r="F43" s="62" t="str">
        <f>IFERROR(IF($N43="","",INDEX('Deltager info'!$N$6:$N$46,$N43-7)),"")</f>
        <v/>
      </c>
      <c r="G43" s="63" t="str">
        <f>IFERROR(IF($N43="","",INDEX('Deltager info'!$O$6:$O$46,$N43-7)),"")</f>
        <v/>
      </c>
      <c r="H43" s="63" t="str">
        <f>IFERROR(IF($N43="","",INDEX('Deltager info'!$P$6:$P$46,$N43-7)),"")</f>
        <v/>
      </c>
      <c r="I43" s="63" t="str">
        <f>IFERROR(IF($N43="","",INDEX('Deltager info'!$Q$6:$Q$46,$N43-7)),"")</f>
        <v/>
      </c>
      <c r="J43" s="63" t="str">
        <f>IFERROR(IF($N43="","",INDEX('Deltager info'!$R$6:$R$46,$N43-7)),"")</f>
        <v/>
      </c>
      <c r="K43" s="63" t="str">
        <f>IFERROR(IF($N43="","",INDEX('Deltager info'!$S$6:$S$46,$N43-7)),"")</f>
        <v/>
      </c>
      <c r="L43" s="66"/>
      <c r="M43" s="1" t="str">
        <f>IFERROR(IF('Deltager info'!$A43="","",'Deltager info'!$A43+ROW('Deltager info'!$A43)/1000000),"")</f>
        <v/>
      </c>
      <c r="N43" s="1" t="str">
        <f>IFERROR(MATCH(SMALL($M$6:$M$46,38),$M$6:$M$46,0)+7,"")</f>
        <v/>
      </c>
    </row>
    <row r="44" spans="1:14" ht="10.5" customHeight="1">
      <c r="A44" s="61" t="str">
        <f>IFERROR(IF($N44="","",INDEX('Deltager info'!$A$6:$A$46,$N44-7)),"")</f>
        <v/>
      </c>
      <c r="B44" s="62" t="str">
        <f>IFERROR(IF($N44="","",INDEX('Deltager info'!$B$6:$B$46,$N44-7)),"")</f>
        <v/>
      </c>
      <c r="C44" s="62" t="str">
        <f>IFERROR(IF($N44="","",INDEX('Deltager info'!$C$6:$C$46,$N44-7)),"")</f>
        <v/>
      </c>
      <c r="D44" s="72"/>
      <c r="E44" s="62" t="str">
        <f>IFERROR(IF($N44="","",INDEX('Deltager info'!$J$6:$J$46,$N44-7)),"")</f>
        <v/>
      </c>
      <c r="F44" s="62" t="str">
        <f>IFERROR(IF($N44="","",INDEX('Deltager info'!$N$6:$N$46,$N44-7)),"")</f>
        <v/>
      </c>
      <c r="G44" s="63" t="str">
        <f>IFERROR(IF($N44="","",INDEX('Deltager info'!$O$6:$O$46,$N44-7)),"")</f>
        <v/>
      </c>
      <c r="H44" s="63" t="str">
        <f>IFERROR(IF($N44="","",INDEX('Deltager info'!$P$6:$P$46,$N44-7)),"")</f>
        <v/>
      </c>
      <c r="I44" s="63" t="str">
        <f>IFERROR(IF($N44="","",INDEX('Deltager info'!$Q$6:$Q$46,$N44-7)),"")</f>
        <v/>
      </c>
      <c r="J44" s="63" t="str">
        <f>IFERROR(IF($N44="","",INDEX('Deltager info'!$R$6:$R$46,$N44-7)),"")</f>
        <v/>
      </c>
      <c r="K44" s="63" t="str">
        <f>IFERROR(IF($N44="","",INDEX('Deltager info'!$S$6:$S$46,$N44-7)),"")</f>
        <v/>
      </c>
      <c r="L44" s="66"/>
      <c r="M44" s="1" t="str">
        <f>IFERROR(IF('Deltager info'!$A44="","",'Deltager info'!$A44+ROW('Deltager info'!$A44)/1000000),"")</f>
        <v/>
      </c>
      <c r="N44" s="1" t="str">
        <f>IFERROR(MATCH(SMALL($M$6:$M$46,39),$M$6:$M$46,0)+7,"")</f>
        <v/>
      </c>
    </row>
    <row r="45" spans="1:14" ht="10.5" customHeight="1">
      <c r="A45" s="61" t="str">
        <f>IFERROR(IF($N45="","",INDEX('Deltager info'!$A$6:$A$46,$N45-7)),"")</f>
        <v/>
      </c>
      <c r="B45" s="62" t="str">
        <f>IFERROR(IF($N45="","",INDEX('Deltager info'!$B$6:$B$46,$N45-7)),"")</f>
        <v/>
      </c>
      <c r="C45" s="62" t="str">
        <f>IFERROR(IF($N45="","",INDEX('Deltager info'!$C$6:$C$46,$N45-7)),"")</f>
        <v/>
      </c>
      <c r="D45" s="72"/>
      <c r="E45" s="62" t="str">
        <f>IFERROR(IF($N45="","",INDEX('Deltager info'!$J$6:$J$46,$N45-7)),"")</f>
        <v/>
      </c>
      <c r="F45" s="62" t="str">
        <f>IFERROR(IF($N45="","",INDEX('Deltager info'!$N$6:$N$46,$N45-7)),"")</f>
        <v/>
      </c>
      <c r="G45" s="63" t="str">
        <f>IFERROR(IF($N45="","",INDEX('Deltager info'!$O$6:$O$46,$N45-7)),"")</f>
        <v/>
      </c>
      <c r="H45" s="63" t="str">
        <f>IFERROR(IF($N45="","",INDEX('Deltager info'!$P$6:$P$46,$N45-7)),"")</f>
        <v/>
      </c>
      <c r="I45" s="63" t="str">
        <f>IFERROR(IF($N45="","",INDEX('Deltager info'!$Q$6:$Q$46,$N45-7)),"")</f>
        <v/>
      </c>
      <c r="J45" s="63" t="str">
        <f>IFERROR(IF($N45="","",INDEX('Deltager info'!$R$6:$R$46,$N45-7)),"")</f>
        <v/>
      </c>
      <c r="K45" s="63" t="str">
        <f>IFERROR(IF($N45="","",INDEX('Deltager info'!$S$6:$S$46,$N45-7)),"")</f>
        <v/>
      </c>
      <c r="L45" s="66"/>
      <c r="M45" s="1" t="str">
        <f>IFERROR(IF('Deltager info'!$A45="","",'Deltager info'!$A45+ROW('Deltager info'!$A45)/1000000),"")</f>
        <v/>
      </c>
      <c r="N45" s="1" t="str">
        <f>IFERROR(MATCH(SMALL($M$6:$M$46,40),$M$6:$M$46,0)+7,"")</f>
        <v/>
      </c>
    </row>
    <row r="46" spans="1:14" ht="10.5" customHeight="1">
      <c r="A46" s="61" t="str">
        <f>IFERROR(IF($N46="","",INDEX('Deltager info'!$A$6:$A$46,$N46-7)),"")</f>
        <v/>
      </c>
      <c r="B46" s="62" t="str">
        <f>IFERROR(IF($N46="","",INDEX('Deltager info'!$B$6:$B$46,$N46-7)),"")</f>
        <v/>
      </c>
      <c r="C46" s="62" t="str">
        <f>IFERROR(IF($N46="","",INDEX('Deltager info'!$C$6:$C$46,$N46-7)),"")</f>
        <v/>
      </c>
      <c r="D46" s="72"/>
      <c r="E46" s="62" t="str">
        <f>IFERROR(IF($N46="","",INDEX('Deltager info'!$J$6:$J$46,$N46-7)),"")</f>
        <v/>
      </c>
      <c r="F46" s="62" t="str">
        <f>IFERROR(IF($N46="","",INDEX('Deltager info'!$N$6:$N$46,$N46-7)),"")</f>
        <v/>
      </c>
      <c r="G46" s="63" t="str">
        <f>IFERROR(IF($N46="","",INDEX('Deltager info'!$O$6:$O$46,$N46-7)),"")</f>
        <v/>
      </c>
      <c r="H46" s="63" t="str">
        <f>IFERROR(IF($N46="","",INDEX('Deltager info'!$P$6:$P$46,$N46-7)),"")</f>
        <v/>
      </c>
      <c r="I46" s="63" t="str">
        <f>IFERROR(IF($N46="","",INDEX('Deltager info'!$Q$6:$Q$46,$N46-7)),"")</f>
        <v/>
      </c>
      <c r="J46" s="63" t="str">
        <f>IFERROR(IF($N46="","",INDEX('Deltager info'!$R$6:$R$46,$N46-7)),"")</f>
        <v/>
      </c>
      <c r="K46" s="63" t="str">
        <f>IFERROR(IF($N46="","",INDEX('Deltager info'!$S$6:$S$46,$N46-7)),"")</f>
        <v/>
      </c>
      <c r="L46" s="66"/>
      <c r="M46" s="1" t="str">
        <f>IFERROR(IF('Deltager info'!$A46="","",'Deltager info'!$A46+ROW('Deltager info'!$A46)/1000000),"")</f>
        <v/>
      </c>
      <c r="N46" s="1" t="str">
        <f>IFERROR(MATCH(SMALL($M$6:$M$46,41),$M$6:$M$46,0)+7,"")</f>
        <v/>
      </c>
    </row>
    <row r="47" spans="1:14" ht="10.5" customHeight="1">
      <c r="A47" s="71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66"/>
      <c r="M47" s="74"/>
      <c r="N47" s="74"/>
    </row>
  </sheetData>
  <mergeCells count="13">
    <mergeCell ref="A1:K2"/>
    <mergeCell ref="B4:B5"/>
    <mergeCell ref="A3:K3"/>
    <mergeCell ref="C4:C5"/>
    <mergeCell ref="A4:A5"/>
    <mergeCell ref="G4:G5"/>
    <mergeCell ref="E4:E5"/>
    <mergeCell ref="J4:J5"/>
    <mergeCell ref="I4:I5"/>
    <mergeCell ref="H4:H5"/>
    <mergeCell ref="K4:K5"/>
    <mergeCell ref="F4:F5"/>
    <mergeCell ref="D4:D5"/>
  </mergeCells>
  <pageMargins left="0.35433070866141736" right="0.35433070866141736" top="0.39370078740157483" bottom="0.39370078740157483" header="0.23622047244094491" footer="0.23622047244094491"/>
  <pageSetup paperSize="9" fitToHeight="0" orientation="landscape" r:id="rId1"/>
  <headerFooter>
    <oddFooter>&amp;LArrangør dokument v 5.0 Classic&amp;C&amp;D&amp;RSide &amp;P af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3"/>
  <sheetViews>
    <sheetView zoomScale="70" zoomScaleNormal="70" workbookViewId="0">
      <selection activeCell="B4" sqref="B4"/>
    </sheetView>
  </sheetViews>
  <sheetFormatPr defaultColWidth="9.1796875" defaultRowHeight="14.5"/>
  <cols>
    <col min="1" max="1" width="3.08984375" style="1" customWidth="1"/>
    <col min="2" max="10" width="9.1796875" style="1" customWidth="1"/>
    <col min="11" max="11" width="14.90625" style="1" customWidth="1"/>
    <col min="12" max="12" width="9.1796875" style="1" customWidth="1"/>
    <col min="13" max="16384" width="9.1796875" style="1"/>
  </cols>
  <sheetData>
    <row r="2" spans="1:11">
      <c r="B2" s="166" t="s">
        <v>118</v>
      </c>
      <c r="C2" s="167"/>
      <c r="D2" s="167"/>
      <c r="E2" s="167"/>
      <c r="F2" s="167"/>
      <c r="G2" s="167"/>
      <c r="H2" s="167"/>
      <c r="I2" s="167"/>
      <c r="J2" s="167"/>
      <c r="K2" s="167"/>
    </row>
    <row r="3" spans="1:11">
      <c r="B3" s="167"/>
      <c r="C3" s="167"/>
      <c r="D3" s="167"/>
      <c r="E3" s="167"/>
      <c r="F3" s="167"/>
      <c r="G3" s="167"/>
      <c r="H3" s="167"/>
      <c r="I3" s="167"/>
      <c r="J3" s="167"/>
      <c r="K3" s="167"/>
    </row>
    <row r="4" spans="1:11">
      <c r="B4" s="58"/>
      <c r="C4" s="58"/>
      <c r="D4" s="58"/>
      <c r="E4" s="58"/>
      <c r="F4" s="58"/>
      <c r="G4" s="58"/>
      <c r="H4" s="58"/>
      <c r="I4" s="58"/>
      <c r="J4" s="58"/>
    </row>
    <row r="5" spans="1:11">
      <c r="B5" s="1" t="s">
        <v>34</v>
      </c>
      <c r="C5" s="123">
        <v>13.4</v>
      </c>
      <c r="D5" s="1" t="s">
        <v>35</v>
      </c>
      <c r="K5" s="59"/>
    </row>
    <row r="6" spans="1:11">
      <c r="A6" s="66"/>
      <c r="B6" s="66"/>
      <c r="C6" s="66"/>
      <c r="D6" s="66"/>
      <c r="E6" s="66"/>
      <c r="F6" s="66"/>
      <c r="G6" s="66"/>
      <c r="H6" s="66"/>
      <c r="I6" s="66"/>
      <c r="J6" s="66"/>
      <c r="K6" s="75"/>
    </row>
    <row r="7" spans="1:11">
      <c r="A7" s="66"/>
      <c r="B7" s="66"/>
      <c r="C7" s="76"/>
      <c r="D7" s="76"/>
      <c r="E7" s="76"/>
      <c r="F7" s="76"/>
      <c r="G7" s="76"/>
      <c r="H7" s="76"/>
      <c r="I7" s="76"/>
      <c r="J7" s="76"/>
      <c r="K7" s="163" t="s">
        <v>36</v>
      </c>
    </row>
    <row r="8" spans="1:11">
      <c r="A8" s="66"/>
      <c r="B8" s="168" t="s">
        <v>37</v>
      </c>
      <c r="C8" s="164"/>
      <c r="D8" s="164"/>
      <c r="E8" s="76"/>
      <c r="F8" s="76"/>
      <c r="G8" s="76"/>
      <c r="H8" s="76"/>
      <c r="I8" s="76"/>
      <c r="J8" s="76"/>
      <c r="K8" s="164"/>
    </row>
    <row r="9" spans="1:11">
      <c r="A9" s="66"/>
      <c r="B9" s="75"/>
      <c r="C9" s="169" t="s">
        <v>38</v>
      </c>
      <c r="D9" s="165"/>
      <c r="E9" s="165"/>
      <c r="F9" s="165"/>
      <c r="G9" s="165"/>
      <c r="H9" s="165"/>
      <c r="I9" s="165"/>
      <c r="J9" s="165"/>
      <c r="K9" s="165"/>
    </row>
    <row r="10" spans="1:11">
      <c r="A10" s="66"/>
      <c r="B10" s="77"/>
      <c r="C10" s="78">
        <v>6</v>
      </c>
      <c r="D10" s="78">
        <v>7</v>
      </c>
      <c r="E10" s="78">
        <v>8</v>
      </c>
      <c r="F10" s="78">
        <v>9</v>
      </c>
      <c r="G10" s="78">
        <v>10</v>
      </c>
      <c r="H10" s="78">
        <v>11</v>
      </c>
      <c r="I10" s="78">
        <v>12</v>
      </c>
      <c r="J10" s="78">
        <v>13</v>
      </c>
      <c r="K10" s="124">
        <v>10</v>
      </c>
    </row>
    <row r="11" spans="1:11">
      <c r="A11" s="66"/>
      <c r="B11" s="79" t="s">
        <v>39</v>
      </c>
      <c r="C11" s="54">
        <f t="shared" ref="C11:K11" si="0">((C12*86400)-60)/86400</f>
        <v>9.2361111111111116E-2</v>
      </c>
      <c r="D11" s="54">
        <f t="shared" si="0"/>
        <v>7.9067460317460328E-2</v>
      </c>
      <c r="E11" s="54">
        <f t="shared" si="0"/>
        <v>6.9097222222222227E-2</v>
      </c>
      <c r="F11" s="54">
        <f t="shared" si="0"/>
        <v>6.1342592592592601E-2</v>
      </c>
      <c r="G11" s="54">
        <f t="shared" si="0"/>
        <v>5.513888888888889E-2</v>
      </c>
      <c r="H11" s="54">
        <f t="shared" si="0"/>
        <v>5.0063131313131316E-2</v>
      </c>
      <c r="I11" s="54">
        <f t="shared" si="0"/>
        <v>4.583333333333333E-2</v>
      </c>
      <c r="J11" s="55">
        <f t="shared" si="0"/>
        <v>4.2254273504273514E-2</v>
      </c>
      <c r="K11" s="55">
        <f t="shared" si="0"/>
        <v>5.513888888888889E-2</v>
      </c>
    </row>
    <row r="12" spans="1:11">
      <c r="A12" s="66"/>
      <c r="B12" s="80" t="s">
        <v>40</v>
      </c>
      <c r="C12" s="56">
        <f t="shared" ref="C12:K12" si="1">($C$5/C10*60*60)/86400</f>
        <v>9.3055555555555558E-2</v>
      </c>
      <c r="D12" s="56">
        <f t="shared" si="1"/>
        <v>7.976190476190477E-2</v>
      </c>
      <c r="E12" s="56">
        <f t="shared" si="1"/>
        <v>6.9791666666666669E-2</v>
      </c>
      <c r="F12" s="56">
        <f t="shared" si="1"/>
        <v>6.203703703703705E-2</v>
      </c>
      <c r="G12" s="56">
        <f t="shared" si="1"/>
        <v>5.5833333333333332E-2</v>
      </c>
      <c r="H12" s="56">
        <f t="shared" si="1"/>
        <v>5.0757575757575765E-2</v>
      </c>
      <c r="I12" s="56">
        <f t="shared" si="1"/>
        <v>4.6527777777777779E-2</v>
      </c>
      <c r="J12" s="57">
        <f t="shared" si="1"/>
        <v>4.2948717948717956E-2</v>
      </c>
      <c r="K12" s="57">
        <f t="shared" si="1"/>
        <v>5.5833333333333332E-2</v>
      </c>
    </row>
    <row r="13" spans="1:11">
      <c r="A13" s="66"/>
      <c r="B13" s="80" t="s">
        <v>41</v>
      </c>
      <c r="C13" s="56">
        <f t="shared" ref="C13:K13" si="2">((C12*86400)+60)/86400</f>
        <v>9.375E-2</v>
      </c>
      <c r="D13" s="56">
        <f t="shared" si="2"/>
        <v>8.0456349206349212E-2</v>
      </c>
      <c r="E13" s="56">
        <f t="shared" si="2"/>
        <v>7.048611111111111E-2</v>
      </c>
      <c r="F13" s="56">
        <f t="shared" si="2"/>
        <v>6.2731481481481485E-2</v>
      </c>
      <c r="G13" s="56">
        <f t="shared" si="2"/>
        <v>5.6527777777777781E-2</v>
      </c>
      <c r="H13" s="56">
        <f t="shared" si="2"/>
        <v>5.1452020202020207E-2</v>
      </c>
      <c r="I13" s="56">
        <f t="shared" si="2"/>
        <v>4.7222222222222221E-2</v>
      </c>
      <c r="J13" s="57">
        <f t="shared" si="2"/>
        <v>4.3643162393162398E-2</v>
      </c>
      <c r="K13" s="57">
        <f t="shared" si="2"/>
        <v>5.6527777777777781E-2</v>
      </c>
    </row>
  </sheetData>
  <mergeCells count="4">
    <mergeCell ref="K7:K9"/>
    <mergeCell ref="B2:K3"/>
    <mergeCell ref="B8:D8"/>
    <mergeCell ref="C9:J9"/>
  </mergeCells>
  <pageMargins left="0.35433070866141736" right="0.35433070866141736" top="0.55118110236220474" bottom="0.55118110236220474" header="0.23622047244094491" footer="0.23622047244094491"/>
  <pageSetup paperSize="9" fitToHeight="0" orientation="landscape" r:id="rId1"/>
  <headerFooter>
    <oddHeader>&amp;CB tider</oddHeader>
    <oddFooter>&amp;LArrangør dokument v 5.0 Classic&amp;C&amp;D&amp;RSide &amp;P af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14"/>
  <sheetViews>
    <sheetView zoomScale="70" zoomScaleNormal="70" workbookViewId="0">
      <selection activeCell="B5" sqref="B5"/>
    </sheetView>
  </sheetViews>
  <sheetFormatPr defaultColWidth="9.1796875" defaultRowHeight="14.5"/>
  <cols>
    <col min="1" max="1" width="3.26953125" style="1" customWidth="1"/>
    <col min="2" max="5" width="9.1796875" style="1" customWidth="1"/>
    <col min="6" max="6" width="14.90625" style="1" customWidth="1"/>
    <col min="7" max="7" width="9.1796875" style="1" customWidth="1"/>
    <col min="8" max="16384" width="9.1796875" style="1"/>
  </cols>
  <sheetData>
    <row r="2" spans="1:12">
      <c r="B2" s="166" t="s">
        <v>117</v>
      </c>
      <c r="C2" s="167"/>
      <c r="D2" s="167"/>
      <c r="E2" s="167"/>
      <c r="F2" s="167"/>
    </row>
    <row r="3" spans="1:12">
      <c r="B3" s="167"/>
      <c r="C3" s="171"/>
      <c r="D3" s="171"/>
      <c r="E3" s="171"/>
      <c r="F3" s="167"/>
    </row>
    <row r="4" spans="1:12">
      <c r="B4" s="167"/>
      <c r="C4" s="167"/>
      <c r="D4" s="167"/>
      <c r="E4" s="167"/>
      <c r="F4" s="167"/>
    </row>
    <row r="6" spans="1:12">
      <c r="A6" s="66"/>
      <c r="B6" s="70" t="s">
        <v>42</v>
      </c>
      <c r="C6" s="125">
        <v>740</v>
      </c>
      <c r="D6" s="70" t="s">
        <v>43</v>
      </c>
      <c r="E6" s="66"/>
      <c r="F6" s="66"/>
      <c r="G6" s="66"/>
      <c r="H6" s="66"/>
      <c r="I6" s="66"/>
      <c r="J6" s="66"/>
      <c r="K6" s="66"/>
      <c r="L6" s="66"/>
    </row>
    <row r="7" spans="1:12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</row>
    <row r="8" spans="1:12">
      <c r="A8" s="66"/>
      <c r="B8" s="66"/>
      <c r="C8" s="67"/>
      <c r="D8" s="66"/>
      <c r="E8" s="66"/>
      <c r="F8" s="163" t="s">
        <v>44</v>
      </c>
      <c r="G8" s="66"/>
      <c r="H8" s="66"/>
      <c r="I8" s="66"/>
      <c r="J8" s="66"/>
      <c r="K8" s="66"/>
      <c r="L8" s="66"/>
    </row>
    <row r="9" spans="1:12">
      <c r="A9" s="66"/>
      <c r="B9" s="170" t="s">
        <v>45</v>
      </c>
      <c r="C9" s="164"/>
      <c r="D9" s="164"/>
      <c r="E9" s="66"/>
      <c r="F9" s="164"/>
      <c r="G9" s="66"/>
      <c r="H9" s="66"/>
      <c r="I9" s="66"/>
      <c r="J9" s="66"/>
      <c r="K9" s="66"/>
      <c r="L9" s="66"/>
    </row>
    <row r="10" spans="1:12">
      <c r="A10" s="66"/>
      <c r="B10" s="66"/>
      <c r="C10" s="169" t="s">
        <v>46</v>
      </c>
      <c r="D10" s="165"/>
      <c r="E10" s="165"/>
      <c r="F10" s="165"/>
      <c r="G10" s="66"/>
      <c r="H10" s="66"/>
      <c r="I10" s="66"/>
      <c r="J10" s="66"/>
      <c r="K10" s="66"/>
      <c r="L10" s="66"/>
    </row>
    <row r="11" spans="1:12">
      <c r="A11" s="66"/>
      <c r="B11" s="76"/>
      <c r="C11" s="78">
        <v>150</v>
      </c>
      <c r="D11" s="78">
        <v>180</v>
      </c>
      <c r="E11" s="78">
        <v>200</v>
      </c>
      <c r="F11" s="124">
        <v>190</v>
      </c>
      <c r="G11" s="66"/>
      <c r="H11" s="66"/>
      <c r="I11" s="66"/>
      <c r="J11" s="66"/>
      <c r="K11" s="66"/>
      <c r="L11" s="66"/>
    </row>
    <row r="12" spans="1:12">
      <c r="A12" s="66"/>
      <c r="B12" s="81" t="s">
        <v>40</v>
      </c>
      <c r="C12" s="60">
        <f>$C$6/$C$11/1440</f>
        <v>3.425925925925926E-3</v>
      </c>
      <c r="D12" s="60">
        <f>$C$6/$D$11/1440</f>
        <v>2.8549382716049382E-3</v>
      </c>
      <c r="E12" s="60">
        <f>$C$6/$E$11/1440</f>
        <v>2.5694444444444445E-3</v>
      </c>
      <c r="F12" s="60">
        <f>$C$6/$F$11/1440</f>
        <v>2.7046783625730994E-3</v>
      </c>
      <c r="G12" s="66"/>
      <c r="H12" s="66"/>
      <c r="I12" s="66"/>
      <c r="J12" s="66"/>
      <c r="K12" s="66"/>
      <c r="L12" s="66"/>
    </row>
    <row r="13" spans="1:12">
      <c r="A13" s="66"/>
      <c r="B13" s="66"/>
      <c r="C13" s="66"/>
      <c r="D13" s="66"/>
      <c r="E13" s="66"/>
      <c r="F13" s="82"/>
      <c r="G13" s="82"/>
      <c r="H13" s="82"/>
      <c r="I13" s="82"/>
      <c r="J13" s="82"/>
      <c r="K13" s="82"/>
      <c r="L13" s="82"/>
    </row>
    <row r="14" spans="1:12">
      <c r="A14" s="66"/>
      <c r="B14" s="66"/>
      <c r="C14" s="66"/>
      <c r="D14" s="66"/>
      <c r="E14" s="66"/>
      <c r="F14" s="76"/>
      <c r="G14" s="76"/>
      <c r="H14" s="76"/>
      <c r="I14" s="76"/>
      <c r="J14" s="76"/>
      <c r="K14" s="76"/>
      <c r="L14" s="76"/>
    </row>
  </sheetData>
  <mergeCells count="4">
    <mergeCell ref="B9:D9"/>
    <mergeCell ref="C10:E10"/>
    <mergeCell ref="B2:F4"/>
    <mergeCell ref="F8:F10"/>
  </mergeCells>
  <pageMargins left="0.35433070866141736" right="0.35433070866141736" top="0.55118110236220474" bottom="0.55118110236220474" header="0.23622047244094491" footer="0.23622047244094491"/>
  <pageSetup paperSize="9" fitToHeight="0" orientation="landscape" r:id="rId1"/>
  <headerFooter>
    <oddHeader>&amp;CC tider</oddHeader>
    <oddFooter>&amp;LArrangør dokument v 5.0 Classic&amp;C&amp;D&amp;RSide &amp;P af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showGridLines="0" zoomScale="70" zoomScaleNormal="70" workbookViewId="0">
      <selection activeCell="B12" sqref="B12"/>
    </sheetView>
  </sheetViews>
  <sheetFormatPr defaultRowHeight="15" customHeight="1"/>
  <cols>
    <col min="1" max="1" width="12.7265625" style="3" customWidth="1"/>
    <col min="2" max="2" width="51.453125" style="1" customWidth="1"/>
    <col min="3" max="3" width="13.36328125" style="44" customWidth="1"/>
    <col min="4" max="5" width="18.54296875" style="1" customWidth="1"/>
    <col min="6" max="6" width="18.54296875" style="37" hidden="1" customWidth="1"/>
    <col min="7" max="8" width="8.7265625" style="1" hidden="1" customWidth="1"/>
    <col min="9" max="10" width="8.7265625" style="1" customWidth="1"/>
    <col min="11" max="11" width="12.1796875" style="1" customWidth="1"/>
    <col min="12" max="12" width="8.7265625" style="1" customWidth="1"/>
    <col min="13" max="16384" width="8.7265625" style="1"/>
  </cols>
  <sheetData>
    <row r="1" spans="1:8" ht="21.5" customHeight="1">
      <c r="A1" s="159" t="s">
        <v>27</v>
      </c>
      <c r="B1" s="149"/>
      <c r="C1" s="149"/>
      <c r="D1" s="149"/>
      <c r="E1" s="31"/>
      <c r="F1" s="48"/>
    </row>
    <row r="2" spans="1:8" ht="21.5" customHeight="1">
      <c r="A2" s="149"/>
      <c r="B2" s="149"/>
      <c r="C2" s="149"/>
      <c r="D2" s="149"/>
      <c r="E2" s="31"/>
      <c r="F2" s="48"/>
    </row>
    <row r="3" spans="1:8" ht="21.5" customHeight="1">
      <c r="A3" s="161" t="s">
        <v>47</v>
      </c>
      <c r="B3" s="149"/>
      <c r="C3" s="149"/>
      <c r="D3" s="149"/>
      <c r="E3" s="32"/>
      <c r="F3" s="49"/>
    </row>
    <row r="4" spans="1:8" s="38" customFormat="1" ht="15" customHeight="1">
      <c r="A4" s="174" t="s">
        <v>29</v>
      </c>
      <c r="B4" s="172" t="s">
        <v>30</v>
      </c>
      <c r="C4" s="173" t="s">
        <v>48</v>
      </c>
      <c r="D4" s="174" t="s">
        <v>24</v>
      </c>
      <c r="E4" s="42"/>
      <c r="F4" s="50"/>
    </row>
    <row r="5" spans="1:8" s="38" customFormat="1" ht="15" customHeight="1">
      <c r="A5" s="149"/>
      <c r="B5" s="149"/>
      <c r="C5" s="149"/>
      <c r="D5" s="149"/>
      <c r="E5" s="42"/>
      <c r="F5" s="50"/>
    </row>
    <row r="6" spans="1:8" s="40" customFormat="1" ht="15" customHeight="1">
      <c r="A6" s="39" t="str">
        <f>IFERROR(IF($H6="","",INDEX('Deltager info'!$A$6:$A$46,$H6-7)),"")</f>
        <v/>
      </c>
      <c r="B6" s="40" t="str">
        <f>IFERROR(IF($H6="","",INDEX('Deltager info'!$B$6:$B$46,$H6-7)),"")</f>
        <v/>
      </c>
      <c r="C6" s="43" t="str">
        <f>IF(LEFT(F6&amp;"",3)="150",'C tider'!$C$12,IF(LEFT(F6&amp;"",3)="180",'C tider'!$D$12,IF(LEFT(F6&amp;"",3)="200",'C tider'!$E$12,"")))</f>
        <v/>
      </c>
      <c r="D6" s="41" t="str">
        <f>IFERROR(IF($H6="","",INDEX('Deltager info'!$U$6:$U$46,$H6-7)),"")</f>
        <v/>
      </c>
      <c r="E6" s="83"/>
      <c r="F6" s="51" t="str">
        <f>IFERROR(IF($H6="","",INDEX('Deltager info'!$N$6:$N$46,$H6-7)),"")</f>
        <v/>
      </c>
      <c r="G6" s="40" t="str">
        <f>IFERROR(IF('Deltager info'!$A6="","",'Deltager info'!$A6+ROW('Deltager info'!$A6)/1000000),"")</f>
        <v/>
      </c>
      <c r="H6" s="40" t="str">
        <f>IFERROR(MATCH(SMALL($G$6:$G$46,1),$G$6:$G$46,0)+7,"")</f>
        <v/>
      </c>
    </row>
    <row r="7" spans="1:8" s="40" customFormat="1" ht="15" customHeight="1">
      <c r="A7" s="39" t="str">
        <f>IFERROR(IF($H7="","",INDEX('Deltager info'!$A$6:$A$46,$H7-7)),"")</f>
        <v/>
      </c>
      <c r="B7" s="40" t="str">
        <f>IFERROR(IF($H7="","",INDEX('Deltager info'!$B$6:$B$46,$H7-7)),"")</f>
        <v/>
      </c>
      <c r="C7" s="43" t="str">
        <f>IF(LEFT(F7&amp;"",3)="150",'C tider'!$C$12,IF(LEFT(F7&amp;"",3)="180",'C tider'!$D$12,IF(LEFT(F7&amp;"",3)="200",'C tider'!$E$12,"")))</f>
        <v/>
      </c>
      <c r="D7" s="41" t="str">
        <f>IFERROR(IF($H7="","",INDEX('Deltager info'!$U$6:$U$46,$H7-7)),"")</f>
        <v/>
      </c>
      <c r="E7" s="83"/>
      <c r="F7" s="51" t="str">
        <f>IFERROR(IF($H7="","",INDEX('Deltager info'!$N$6:$N$46,$H7-7)),"")</f>
        <v/>
      </c>
      <c r="G7" s="40" t="str">
        <f>IFERROR(IF('Deltager info'!$A7="","",'Deltager info'!$A7+ROW('Deltager info'!$A7)/1000000),"")</f>
        <v/>
      </c>
      <c r="H7" s="40" t="str">
        <f>IFERROR(MATCH(SMALL($G$6:$G$46,2),$G$6:$G$46,0)+7,"")</f>
        <v/>
      </c>
    </row>
    <row r="8" spans="1:8" s="40" customFormat="1" ht="15" customHeight="1">
      <c r="A8" s="39" t="str">
        <f>IFERROR(IF($H8="","",INDEX('Deltager info'!$A$6:$A$46,$H8-7)),"")</f>
        <v/>
      </c>
      <c r="B8" s="40" t="str">
        <f>IFERROR(IF($H8="","",INDEX('Deltager info'!$B$6:$B$46,$H8-7)),"")</f>
        <v/>
      </c>
      <c r="C8" s="43" t="str">
        <f>IF(LEFT(F8&amp;"",3)="150",'C tider'!$C$12,IF(LEFT(F8&amp;"",3)="180",'C tider'!$D$12,IF(LEFT(F8&amp;"",3)="200",'C tider'!$E$12,"")))</f>
        <v/>
      </c>
      <c r="D8" s="41" t="str">
        <f>IFERROR(IF($H8="","",INDEX('Deltager info'!$U$6:$U$46,$H8-7)),"")</f>
        <v/>
      </c>
      <c r="E8" s="83"/>
      <c r="F8" s="51" t="str">
        <f>IFERROR(IF($H8="","",INDEX('Deltager info'!$N$6:$N$46,$H8-7)),"")</f>
        <v/>
      </c>
      <c r="G8" s="40" t="str">
        <f>IFERROR(IF('Deltager info'!$A8="","",'Deltager info'!$A8+ROW('Deltager info'!$A8)/1000000),"")</f>
        <v/>
      </c>
      <c r="H8" s="40" t="str">
        <f>IFERROR(MATCH(SMALL($G$6:$G$46,3),$G$6:$G$46,0)+7,"")</f>
        <v/>
      </c>
    </row>
    <row r="9" spans="1:8" s="40" customFormat="1" ht="15" customHeight="1">
      <c r="A9" s="39" t="str">
        <f>IFERROR(IF($H9="","",INDEX('Deltager info'!$A$6:$A$46,$H9-7)),"")</f>
        <v/>
      </c>
      <c r="B9" s="40" t="str">
        <f>IFERROR(IF($H9="","",INDEX('Deltager info'!$B$6:$B$46,$H9-7)),"")</f>
        <v/>
      </c>
      <c r="C9" s="43" t="str">
        <f>IF(LEFT(F9&amp;"",3)="150",'C tider'!$C$12,IF(LEFT(F9&amp;"",3)="180",'C tider'!$D$12,IF(LEFT(F9&amp;"",3)="200",'C tider'!$E$12,"")))</f>
        <v/>
      </c>
      <c r="D9" s="41" t="str">
        <f>IFERROR(IF($H9="","",INDEX('Deltager info'!$U$6:$U$46,$H9-7)),"")</f>
        <v/>
      </c>
      <c r="E9" s="83"/>
      <c r="F9" s="51" t="str">
        <f>IFERROR(IF($H9="","",INDEX('Deltager info'!$N$6:$N$46,$H9-7)),"")</f>
        <v/>
      </c>
      <c r="G9" s="40" t="str">
        <f>IFERROR(IF('Deltager info'!$A9="","",'Deltager info'!$A9+ROW('Deltager info'!$A9)/1000000),"")</f>
        <v/>
      </c>
      <c r="H9" s="40" t="str">
        <f>IFERROR(MATCH(SMALL($G$6:$G$46,4),$G$6:$G$46,0)+7,"")</f>
        <v/>
      </c>
    </row>
    <row r="10" spans="1:8" s="40" customFormat="1" ht="15" customHeight="1">
      <c r="A10" s="39" t="str">
        <f>IFERROR(IF($H10="","",INDEX('Deltager info'!$A$6:$A$46,$H10-7)),"")</f>
        <v/>
      </c>
      <c r="B10" s="40" t="str">
        <f>IFERROR(IF($H10="","",INDEX('Deltager info'!$B$6:$B$46,$H10-7)),"")</f>
        <v/>
      </c>
      <c r="C10" s="43" t="str">
        <f>IF(LEFT(F10&amp;"",3)="150",'C tider'!$C$12,IF(LEFT(F10&amp;"",3)="180",'C tider'!$D$12,IF(LEFT(F10&amp;"",3)="200",'C tider'!$E$12,"")))</f>
        <v/>
      </c>
      <c r="D10" s="41" t="str">
        <f>IFERROR(IF($H10="","",INDEX('Deltager info'!$U$6:$U$46,$H10-7)),"")</f>
        <v/>
      </c>
      <c r="E10" s="83"/>
      <c r="F10" s="51" t="str">
        <f>IFERROR(IF($H10="","",INDEX('Deltager info'!$N$6:$N$46,$H10-7)),"")</f>
        <v/>
      </c>
      <c r="G10" s="40" t="str">
        <f>IFERROR(IF('Deltager info'!$A10="","",'Deltager info'!$A10+ROW('Deltager info'!$A10)/1000000),"")</f>
        <v/>
      </c>
      <c r="H10" s="40" t="str">
        <f>IFERROR(MATCH(SMALL($G$6:$G$46,5),$G$6:$G$46,0)+7,"")</f>
        <v/>
      </c>
    </row>
    <row r="11" spans="1:8" s="40" customFormat="1" ht="15" customHeight="1">
      <c r="A11" s="39" t="str">
        <f>IFERROR(IF($H11="","",INDEX('Deltager info'!$A$6:$A$46,$H11-7)),"")</f>
        <v/>
      </c>
      <c r="B11" s="40" t="str">
        <f>IFERROR(IF($H11="","",INDEX('Deltager info'!$B$6:$B$46,$H11-7)),"")</f>
        <v/>
      </c>
      <c r="C11" s="43" t="str">
        <f>IF(LEFT(F11&amp;"",3)="150",'C tider'!$C$12,IF(LEFT(F11&amp;"",3)="180",'C tider'!$D$12,IF(LEFT(F11&amp;"",3)="200",'C tider'!$E$12,"")))</f>
        <v/>
      </c>
      <c r="D11" s="41" t="str">
        <f>IFERROR(IF($H11="","",INDEX('Deltager info'!$U$6:$U$46,$H11-7)),"")</f>
        <v/>
      </c>
      <c r="E11" s="83"/>
      <c r="F11" s="51" t="str">
        <f>IFERROR(IF($H11="","",INDEX('Deltager info'!$N$6:$N$46,$H11-7)),"")</f>
        <v/>
      </c>
      <c r="G11" s="40" t="str">
        <f>IFERROR(IF('Deltager info'!$A11="","",'Deltager info'!$A11+ROW('Deltager info'!$A11)/1000000),"")</f>
        <v/>
      </c>
      <c r="H11" s="40" t="str">
        <f>IFERROR(MATCH(SMALL($G$6:$G$46,6),$G$6:$G$46,0)+7,"")</f>
        <v/>
      </c>
    </row>
    <row r="12" spans="1:8" s="40" customFormat="1" ht="15" customHeight="1">
      <c r="A12" s="39" t="str">
        <f>IFERROR(IF($H12="","",INDEX('Deltager info'!$A$6:$A$46,$H12-7)),"")</f>
        <v/>
      </c>
      <c r="B12" s="40" t="str">
        <f>IFERROR(IF($H12="","",INDEX('Deltager info'!$B$6:$B$46,$H12-7)),"")</f>
        <v/>
      </c>
      <c r="C12" s="43" t="str">
        <f>IF(LEFT(F12&amp;"",3)="150",'C tider'!$C$12,IF(LEFT(F12&amp;"",3)="180",'C tider'!$D$12,IF(LEFT(F12&amp;"",3)="200",'C tider'!$E$12,"")))</f>
        <v/>
      </c>
      <c r="D12" s="41" t="str">
        <f>IFERROR(IF($H12="","",INDEX('Deltager info'!$U$6:$U$46,$H12-7)),"")</f>
        <v/>
      </c>
      <c r="E12" s="83"/>
      <c r="F12" s="51" t="str">
        <f>IFERROR(IF($H12="","",INDEX('Deltager info'!$N$6:$N$46,$H12-7)),"")</f>
        <v/>
      </c>
      <c r="G12" s="40" t="str">
        <f>IFERROR(IF('Deltager info'!$A12="","",'Deltager info'!$A12+ROW('Deltager info'!$A12)/1000000),"")</f>
        <v/>
      </c>
      <c r="H12" s="40" t="str">
        <f>IFERROR(MATCH(SMALL($G$6:$G$46,7),$G$6:$G$46,0)+7,"")</f>
        <v/>
      </c>
    </row>
    <row r="13" spans="1:8" s="40" customFormat="1" ht="15" customHeight="1">
      <c r="A13" s="39" t="str">
        <f>IFERROR(IF($H13="","",INDEX('Deltager info'!$A$6:$A$46,$H13-7)),"")</f>
        <v/>
      </c>
      <c r="B13" s="40" t="str">
        <f>IFERROR(IF($H13="","",INDEX('Deltager info'!$B$6:$B$46,$H13-7)),"")</f>
        <v/>
      </c>
      <c r="C13" s="43" t="str">
        <f>IF(LEFT(F13&amp;"",3)="150",'C tider'!$C$12,IF(LEFT(F13&amp;"",3)="180",'C tider'!$D$12,IF(LEFT(F13&amp;"",3)="200",'C tider'!$E$12,"")))</f>
        <v/>
      </c>
      <c r="D13" s="41" t="str">
        <f>IFERROR(IF($H13="","",INDEX('Deltager info'!$U$6:$U$46,$H13-7)),"")</f>
        <v/>
      </c>
      <c r="E13" s="83"/>
      <c r="F13" s="51" t="str">
        <f>IFERROR(IF($H13="","",INDEX('Deltager info'!$N$6:$N$46,$H13-7)),"")</f>
        <v/>
      </c>
      <c r="G13" s="40" t="str">
        <f>IFERROR(IF('Deltager info'!$A13="","",'Deltager info'!$A13+ROW('Deltager info'!$A13)/1000000),"")</f>
        <v/>
      </c>
      <c r="H13" s="40" t="str">
        <f>IFERROR(MATCH(SMALL($G$6:$G$46,8),$G$6:$G$46,0)+7,"")</f>
        <v/>
      </c>
    </row>
    <row r="14" spans="1:8" s="40" customFormat="1" ht="15" customHeight="1">
      <c r="A14" s="39" t="str">
        <f>IFERROR(IF($H14="","",INDEX('Deltager info'!$A$6:$A$46,$H14-7)),"")</f>
        <v/>
      </c>
      <c r="B14" s="40" t="str">
        <f>IFERROR(IF($H14="","",INDEX('Deltager info'!$B$6:$B$46,$H14-7)),"")</f>
        <v/>
      </c>
      <c r="C14" s="43" t="str">
        <f>IF(LEFT(F14&amp;"",3)="150",'C tider'!$C$12,IF(LEFT(F14&amp;"",3)="180",'C tider'!$D$12,IF(LEFT(F14&amp;"",3)="200",'C tider'!$E$12,"")))</f>
        <v/>
      </c>
      <c r="D14" s="41" t="str">
        <f>IFERROR(IF($H14="","",INDEX('Deltager info'!$U$6:$U$46,$H14-7)),"")</f>
        <v/>
      </c>
      <c r="E14" s="83"/>
      <c r="F14" s="51" t="str">
        <f>IFERROR(IF($H14="","",INDEX('Deltager info'!$N$6:$N$46,$H14-7)),"")</f>
        <v/>
      </c>
      <c r="G14" s="40" t="str">
        <f>IFERROR(IF('Deltager info'!$A14="","",'Deltager info'!$A14+ROW('Deltager info'!$A14)/1000000),"")</f>
        <v/>
      </c>
      <c r="H14" s="40" t="str">
        <f>IFERROR(MATCH(SMALL($G$6:$G$46,9),$G$6:$G$46,0)+7,"")</f>
        <v/>
      </c>
    </row>
    <row r="15" spans="1:8" s="40" customFormat="1" ht="15" customHeight="1">
      <c r="A15" s="39" t="str">
        <f>IFERROR(IF($H15="","",INDEX('Deltager info'!$A$6:$A$46,$H15-7)),"")</f>
        <v/>
      </c>
      <c r="B15" s="40" t="str">
        <f>IFERROR(IF($H15="","",INDEX('Deltager info'!$B$6:$B$46,$H15-7)),"")</f>
        <v/>
      </c>
      <c r="C15" s="43" t="str">
        <f>IF(LEFT(F15&amp;"",3)="150",'C tider'!$C$12,IF(LEFT(F15&amp;"",3)="180",'C tider'!$D$12,IF(LEFT(F15&amp;"",3)="200",'C tider'!$E$12,"")))</f>
        <v/>
      </c>
      <c r="D15" s="41" t="str">
        <f>IFERROR(IF($H15="","",INDEX('Deltager info'!$U$6:$U$46,$H15-7)),"")</f>
        <v/>
      </c>
      <c r="E15" s="83"/>
      <c r="F15" s="51" t="str">
        <f>IFERROR(IF($H15="","",INDEX('Deltager info'!$N$6:$N$46,$H15-7)),"")</f>
        <v/>
      </c>
      <c r="G15" s="40" t="str">
        <f>IFERROR(IF('Deltager info'!$A15="","",'Deltager info'!$A15+ROW('Deltager info'!$A15)/1000000),"")</f>
        <v/>
      </c>
      <c r="H15" s="40" t="str">
        <f>IFERROR(MATCH(SMALL($G$6:$G$46,10),$G$6:$G$46,0)+7,"")</f>
        <v/>
      </c>
    </row>
    <row r="16" spans="1:8" s="40" customFormat="1" ht="15" customHeight="1">
      <c r="A16" s="39" t="str">
        <f>IFERROR(IF($H16="","",INDEX('Deltager info'!$A$6:$A$46,$H16-7)),"")</f>
        <v/>
      </c>
      <c r="B16" s="40" t="str">
        <f>IFERROR(IF($H16="","",INDEX('Deltager info'!$B$6:$B$46,$H16-7)),"")</f>
        <v/>
      </c>
      <c r="C16" s="43" t="str">
        <f>IF(LEFT(F16&amp;"",3)="150",'C tider'!$C$12,IF(LEFT(F16&amp;"",3)="180",'C tider'!$D$12,IF(LEFT(F16&amp;"",3)="200",'C tider'!$E$12,"")))</f>
        <v/>
      </c>
      <c r="D16" s="41" t="str">
        <f>IFERROR(IF($H16="","",INDEX('Deltager info'!$U$6:$U$46,$H16-7)),"")</f>
        <v/>
      </c>
      <c r="E16" s="83"/>
      <c r="F16" s="51" t="str">
        <f>IFERROR(IF($H16="","",INDEX('Deltager info'!$N$6:$N$46,$H16-7)),"")</f>
        <v/>
      </c>
      <c r="G16" s="40" t="str">
        <f>IFERROR(IF('Deltager info'!$A16="","",'Deltager info'!$A16+ROW('Deltager info'!$A16)/1000000),"")</f>
        <v/>
      </c>
      <c r="H16" s="40" t="str">
        <f>IFERROR(MATCH(SMALL($G$6:$G$46,11),$G$6:$G$46,0)+7,"")</f>
        <v/>
      </c>
    </row>
    <row r="17" spans="1:8" s="40" customFormat="1" ht="15" customHeight="1">
      <c r="A17" s="39" t="str">
        <f>IFERROR(IF($H17="","",INDEX('Deltager info'!$A$6:$A$46,$H17-7)),"")</f>
        <v/>
      </c>
      <c r="B17" s="40" t="str">
        <f>IFERROR(IF($H17="","",INDEX('Deltager info'!$B$6:$B$46,$H17-7)),"")</f>
        <v/>
      </c>
      <c r="C17" s="43" t="str">
        <f>IF(LEFT(F17&amp;"",3)="150",'C tider'!$C$12,IF(LEFT(F17&amp;"",3)="180",'C tider'!$D$12,IF(LEFT(F17&amp;"",3)="200",'C tider'!$E$12,"")))</f>
        <v/>
      </c>
      <c r="D17" s="41" t="str">
        <f>IFERROR(IF($H17="","",INDEX('Deltager info'!$U$6:$U$46,$H17-7)),"")</f>
        <v/>
      </c>
      <c r="E17" s="83"/>
      <c r="F17" s="51" t="str">
        <f>IFERROR(IF($H17="","",INDEX('Deltager info'!$N$6:$N$46,$H17-7)),"")</f>
        <v/>
      </c>
      <c r="G17" s="40" t="str">
        <f>IFERROR(IF('Deltager info'!$A17="","",'Deltager info'!$A17+ROW('Deltager info'!$A17)/1000000),"")</f>
        <v/>
      </c>
      <c r="H17" s="40" t="str">
        <f>IFERROR(MATCH(SMALL($G$6:$G$46,12),$G$6:$G$46,0)+7,"")</f>
        <v/>
      </c>
    </row>
    <row r="18" spans="1:8" s="40" customFormat="1" ht="15" customHeight="1">
      <c r="A18" s="39" t="str">
        <f>IFERROR(IF($H18="","",INDEX('Deltager info'!$A$6:$A$46,$H18-7)),"")</f>
        <v/>
      </c>
      <c r="B18" s="40" t="str">
        <f>IFERROR(IF($H18="","",INDEX('Deltager info'!$B$6:$B$46,$H18-7)),"")</f>
        <v/>
      </c>
      <c r="C18" s="43" t="str">
        <f>IF(LEFT(F18&amp;"",3)="150",'C tider'!$C$12,IF(LEFT(F18&amp;"",3)="180",'C tider'!$D$12,IF(LEFT(F18&amp;"",3)="200",'C tider'!$E$12,"")))</f>
        <v/>
      </c>
      <c r="D18" s="41" t="str">
        <f>IFERROR(IF($H18="","",INDEX('Deltager info'!$U$6:$U$46,$H18-7)),"")</f>
        <v/>
      </c>
      <c r="E18" s="83"/>
      <c r="F18" s="51" t="str">
        <f>IFERROR(IF($H18="","",INDEX('Deltager info'!$N$6:$N$46,$H18-7)),"")</f>
        <v/>
      </c>
      <c r="G18" s="40" t="str">
        <f>IFERROR(IF('Deltager info'!$A18="","",'Deltager info'!$A18+ROW('Deltager info'!$A18)/1000000),"")</f>
        <v/>
      </c>
      <c r="H18" s="40" t="str">
        <f>IFERROR(MATCH(SMALL($G$6:$G$46,13),$G$6:$G$46,0)+7,"")</f>
        <v/>
      </c>
    </row>
    <row r="19" spans="1:8" s="40" customFormat="1" ht="15" customHeight="1">
      <c r="A19" s="39" t="str">
        <f>IFERROR(IF($H19="","",INDEX('Deltager info'!$A$6:$A$46,$H19-7)),"")</f>
        <v/>
      </c>
      <c r="B19" s="40" t="str">
        <f>IFERROR(IF($H19="","",INDEX('Deltager info'!$B$6:$B$46,$H19-7)),"")</f>
        <v/>
      </c>
      <c r="C19" s="43" t="str">
        <f>IF(LEFT(F19&amp;"",3)="150",'C tider'!$C$12,IF(LEFT(F19&amp;"",3)="180",'C tider'!$D$12,IF(LEFT(F19&amp;"",3)="200",'C tider'!$E$12,"")))</f>
        <v/>
      </c>
      <c r="D19" s="41" t="str">
        <f>IFERROR(IF($H19="","",INDEX('Deltager info'!$U$6:$U$46,$H19-7)),"")</f>
        <v/>
      </c>
      <c r="E19" s="83"/>
      <c r="F19" s="51" t="str">
        <f>IFERROR(IF($H19="","",INDEX('Deltager info'!$N$6:$N$46,$H19-7)),"")</f>
        <v/>
      </c>
      <c r="G19" s="40" t="str">
        <f>IFERROR(IF('Deltager info'!$A19="","",'Deltager info'!$A19+ROW('Deltager info'!$A19)/1000000),"")</f>
        <v/>
      </c>
      <c r="H19" s="40" t="str">
        <f>IFERROR(MATCH(SMALL($G$6:$G$46,14),$G$6:$G$46,0)+7,"")</f>
        <v/>
      </c>
    </row>
    <row r="20" spans="1:8" s="40" customFormat="1" ht="15" customHeight="1">
      <c r="A20" s="39" t="str">
        <f>IFERROR(IF($H20="","",INDEX('Deltager info'!$A$6:$A$46,$H20-7)),"")</f>
        <v/>
      </c>
      <c r="B20" s="40" t="str">
        <f>IFERROR(IF($H20="","",INDEX('Deltager info'!$B$6:$B$46,$H20-7)),"")</f>
        <v/>
      </c>
      <c r="C20" s="43" t="str">
        <f>IF(LEFT(F20&amp;"",3)="150",'C tider'!$C$12,IF(LEFT(F20&amp;"",3)="180",'C tider'!$D$12,IF(LEFT(F20&amp;"",3)="200",'C tider'!$E$12,"")))</f>
        <v/>
      </c>
      <c r="D20" s="41" t="str">
        <f>IFERROR(IF($H20="","",INDEX('Deltager info'!$U$6:$U$46,$H20-7)),"")</f>
        <v/>
      </c>
      <c r="E20" s="83"/>
      <c r="F20" s="51" t="str">
        <f>IFERROR(IF($H20="","",INDEX('Deltager info'!$N$6:$N$46,$H20-7)),"")</f>
        <v/>
      </c>
      <c r="G20" s="40" t="str">
        <f>IFERROR(IF('Deltager info'!$A20="","",'Deltager info'!$A20+ROW('Deltager info'!$A20)/1000000),"")</f>
        <v/>
      </c>
      <c r="H20" s="40" t="str">
        <f>IFERROR(MATCH(SMALL($G$6:$G$46,15),$G$6:$G$46,0)+7,"")</f>
        <v/>
      </c>
    </row>
    <row r="21" spans="1:8" s="40" customFormat="1" ht="15" customHeight="1">
      <c r="A21" s="39" t="str">
        <f>IFERROR(IF($H21="","",INDEX('Deltager info'!$A$6:$A$46,$H21-7)),"")</f>
        <v/>
      </c>
      <c r="B21" s="40" t="str">
        <f>IFERROR(IF($H21="","",INDEX('Deltager info'!$B$6:$B$46,$H21-7)),"")</f>
        <v/>
      </c>
      <c r="C21" s="43" t="str">
        <f>IF(LEFT(F21&amp;"",3)="150",'C tider'!$C$12,IF(LEFT(F21&amp;"",3)="180",'C tider'!$D$12,IF(LEFT(F21&amp;"",3)="200",'C tider'!$E$12,"")))</f>
        <v/>
      </c>
      <c r="D21" s="41" t="str">
        <f>IFERROR(IF($H21="","",INDEX('Deltager info'!$U$6:$U$46,$H21-7)),"")</f>
        <v/>
      </c>
      <c r="E21" s="83"/>
      <c r="F21" s="51" t="str">
        <f>IFERROR(IF($H21="","",INDEX('Deltager info'!$N$6:$N$46,$H21-7)),"")</f>
        <v/>
      </c>
      <c r="G21" s="40" t="str">
        <f>IFERROR(IF('Deltager info'!$A21="","",'Deltager info'!$A21+ROW('Deltager info'!$A21)/1000000),"")</f>
        <v/>
      </c>
      <c r="H21" s="40" t="str">
        <f>IFERROR(MATCH(SMALL($G$6:$G$46,16),$G$6:$G$46,0)+7,"")</f>
        <v/>
      </c>
    </row>
    <row r="22" spans="1:8" s="40" customFormat="1" ht="15" customHeight="1">
      <c r="A22" s="39" t="str">
        <f>IFERROR(IF($H22="","",INDEX('Deltager info'!$A$6:$A$46,$H22-7)),"")</f>
        <v/>
      </c>
      <c r="B22" s="40" t="str">
        <f>IFERROR(IF($H22="","",INDEX('Deltager info'!$B$6:$B$46,$H22-7)),"")</f>
        <v/>
      </c>
      <c r="C22" s="43" t="str">
        <f>IF(LEFT(F22&amp;"",3)="150",'C tider'!$C$12,IF(LEFT(F22&amp;"",3)="180",'C tider'!$D$12,IF(LEFT(F22&amp;"",3)="200",'C tider'!$E$12,"")))</f>
        <v/>
      </c>
      <c r="D22" s="41" t="str">
        <f>IFERROR(IF($H22="","",INDEX('Deltager info'!$U$6:$U$46,$H22-7)),"")</f>
        <v/>
      </c>
      <c r="E22" s="83"/>
      <c r="F22" s="51" t="str">
        <f>IFERROR(IF($H22="","",INDEX('Deltager info'!$N$6:$N$46,$H22-7)),"")</f>
        <v/>
      </c>
      <c r="G22" s="40" t="str">
        <f>IFERROR(IF('Deltager info'!$A22="","",'Deltager info'!$A22+ROW('Deltager info'!$A22)/1000000),"")</f>
        <v/>
      </c>
      <c r="H22" s="40" t="str">
        <f>IFERROR(MATCH(SMALL($G$6:$G$46,17),$G$6:$G$46,0)+7,"")</f>
        <v/>
      </c>
    </row>
    <row r="23" spans="1:8" s="40" customFormat="1" ht="15" customHeight="1">
      <c r="A23" s="39" t="str">
        <f>IFERROR(IF($H23="","",INDEX('Deltager info'!$A$6:$A$46,$H23-7)),"")</f>
        <v/>
      </c>
      <c r="B23" s="40" t="str">
        <f>IFERROR(IF($H23="","",INDEX('Deltager info'!$B$6:$B$46,$H23-7)),"")</f>
        <v/>
      </c>
      <c r="C23" s="43" t="str">
        <f>IF(LEFT(F23&amp;"",3)="150",'C tider'!$C$12,IF(LEFT(F23&amp;"",3)="180",'C tider'!$D$12,IF(LEFT(F23&amp;"",3)="200",'C tider'!$E$12,"")))</f>
        <v/>
      </c>
      <c r="D23" s="41" t="str">
        <f>IFERROR(IF($H23="","",INDEX('Deltager info'!$U$6:$U$46,$H23-7)),"")</f>
        <v/>
      </c>
      <c r="E23" s="83"/>
      <c r="F23" s="51" t="str">
        <f>IFERROR(IF($H23="","",INDEX('Deltager info'!$N$6:$N$46,$H23-7)),"")</f>
        <v/>
      </c>
      <c r="G23" s="40" t="str">
        <f>IFERROR(IF('Deltager info'!$A23="","",'Deltager info'!$A23+ROW('Deltager info'!$A23)/1000000),"")</f>
        <v/>
      </c>
      <c r="H23" s="40" t="str">
        <f>IFERROR(MATCH(SMALL($G$6:$G$46,18),$G$6:$G$46,0)+7,"")</f>
        <v/>
      </c>
    </row>
    <row r="24" spans="1:8" s="40" customFormat="1" ht="15" customHeight="1">
      <c r="A24" s="39" t="str">
        <f>IFERROR(IF($H24="","",INDEX('Deltager info'!$A$6:$A$46,$H24-7)),"")</f>
        <v/>
      </c>
      <c r="B24" s="40" t="str">
        <f>IFERROR(IF($H24="","",INDEX('Deltager info'!$B$6:$B$46,$H24-7)),"")</f>
        <v/>
      </c>
      <c r="C24" s="43" t="str">
        <f>IF(LEFT(F24&amp;"",3)="150",'C tider'!$C$12,IF(LEFT(F24&amp;"",3)="180",'C tider'!$D$12,IF(LEFT(F24&amp;"",3)="200",'C tider'!$E$12,"")))</f>
        <v/>
      </c>
      <c r="D24" s="41" t="str">
        <f>IFERROR(IF($H24="","",INDEX('Deltager info'!$U$6:$U$46,$H24-7)),"")</f>
        <v/>
      </c>
      <c r="E24" s="83"/>
      <c r="F24" s="51" t="str">
        <f>IFERROR(IF($H24="","",INDEX('Deltager info'!$N$6:$N$46,$H24-7)),"")</f>
        <v/>
      </c>
      <c r="G24" s="40" t="str">
        <f>IFERROR(IF('Deltager info'!$A24="","",'Deltager info'!$A24+ROW('Deltager info'!$A24)/1000000),"")</f>
        <v/>
      </c>
      <c r="H24" s="40" t="str">
        <f>IFERROR(MATCH(SMALL($G$6:$G$46,19),$G$6:$G$46,0)+7,"")</f>
        <v/>
      </c>
    </row>
    <row r="25" spans="1:8" s="40" customFormat="1" ht="15" customHeight="1">
      <c r="A25" s="39" t="str">
        <f>IFERROR(IF($H25="","",INDEX('Deltager info'!$A$6:$A$46,$H25-7)),"")</f>
        <v/>
      </c>
      <c r="B25" s="40" t="str">
        <f>IFERROR(IF($H25="","",INDEX('Deltager info'!$B$6:$B$46,$H25-7)),"")</f>
        <v/>
      </c>
      <c r="C25" s="43" t="str">
        <f>IF(LEFT(F25&amp;"",3)="150",'C tider'!$C$12,IF(LEFT(F25&amp;"",3)="180",'C tider'!$D$12,IF(LEFT(F25&amp;"",3)="200",'C tider'!$E$12,"")))</f>
        <v/>
      </c>
      <c r="D25" s="41" t="str">
        <f>IFERROR(IF($H25="","",INDEX('Deltager info'!$U$6:$U$46,$H25-7)),"")</f>
        <v/>
      </c>
      <c r="E25" s="83"/>
      <c r="F25" s="51" t="str">
        <f>IFERROR(IF($H25="","",INDEX('Deltager info'!$N$6:$N$46,$H25-7)),"")</f>
        <v/>
      </c>
      <c r="G25" s="40" t="str">
        <f>IFERROR(IF('Deltager info'!$A25="","",'Deltager info'!$A25+ROW('Deltager info'!$A25)/1000000),"")</f>
        <v/>
      </c>
      <c r="H25" s="40" t="str">
        <f>IFERROR(MATCH(SMALL($G$6:$G$46,20),$G$6:$G$46,0)+7,"")</f>
        <v/>
      </c>
    </row>
    <row r="26" spans="1:8" s="40" customFormat="1" ht="15" customHeight="1">
      <c r="A26" s="39" t="str">
        <f>IFERROR(IF($H26="","",INDEX('Deltager info'!$A$6:$A$46,$H26-7)),"")</f>
        <v/>
      </c>
      <c r="B26" s="40" t="str">
        <f>IFERROR(IF($H26="","",INDEX('Deltager info'!$B$6:$B$46,$H26-7)),"")</f>
        <v/>
      </c>
      <c r="C26" s="43" t="str">
        <f>IF(LEFT(F26&amp;"",3)="150",'C tider'!$C$12,IF(LEFT(F26&amp;"",3)="180",'C tider'!$D$12,IF(LEFT(F26&amp;"",3)="200",'C tider'!$E$12,"")))</f>
        <v/>
      </c>
      <c r="D26" s="41" t="str">
        <f>IFERROR(IF($H26="","",INDEX('Deltager info'!$U$6:$U$46,$H26-7)),"")</f>
        <v/>
      </c>
      <c r="E26" s="83"/>
      <c r="F26" s="51" t="str">
        <f>IFERROR(IF($H26="","",INDEX('Deltager info'!$N$6:$N$46,$H26-7)),"")</f>
        <v/>
      </c>
      <c r="G26" s="66"/>
      <c r="H26" s="40" t="str">
        <f>IFERROR(MATCH(SMALL($G$6:$G$46,21),$G$6:$G$46,0)+7,"")</f>
        <v/>
      </c>
    </row>
    <row r="27" spans="1:8" s="40" customFormat="1" ht="15" customHeight="1">
      <c r="A27" s="39" t="str">
        <f>IFERROR(IF($H27="","",INDEX('Deltager info'!$A$6:$A$46,$H27-7)),"")</f>
        <v/>
      </c>
      <c r="B27" s="40" t="str">
        <f>IFERROR(IF($H27="","",INDEX('Deltager info'!$B$6:$B$46,$H27-7)),"")</f>
        <v/>
      </c>
      <c r="C27" s="43" t="str">
        <f>IF(LEFT(F27&amp;"",3)="150",'C tider'!$C$12,IF(LEFT(F27&amp;"",3)="180",'C tider'!$D$12,IF(LEFT(F27&amp;"",3)="200",'C tider'!$E$12,"")))</f>
        <v/>
      </c>
      <c r="D27" s="41" t="str">
        <f>IFERROR(IF($H27="","",INDEX('Deltager info'!$U$6:$U$46,$H27-7)),"")</f>
        <v/>
      </c>
      <c r="E27" s="83"/>
      <c r="F27" s="51" t="str">
        <f>IFERROR(IF($H27="","",INDEX('Deltager info'!$N$6:$N$46,$H27-7)),"")</f>
        <v/>
      </c>
      <c r="G27" s="40" t="str">
        <f>IFERROR(IF('Deltager info'!$A27="","",'Deltager info'!$A27+ROW('Deltager info'!$A27)/1000000),"")</f>
        <v/>
      </c>
      <c r="H27" s="40" t="str">
        <f>IFERROR(MATCH(SMALL($G$6:$G$46,22),$G$6:$G$46,0)+7,"")</f>
        <v/>
      </c>
    </row>
    <row r="28" spans="1:8" s="40" customFormat="1" ht="15" customHeight="1">
      <c r="A28" s="39" t="str">
        <f>IFERROR(IF($H28="","",INDEX('Deltager info'!$A$6:$A$46,$H28-7)),"")</f>
        <v/>
      </c>
      <c r="B28" s="40" t="str">
        <f>IFERROR(IF($H28="","",INDEX('Deltager info'!$B$6:$B$46,$H28-7)),"")</f>
        <v/>
      </c>
      <c r="C28" s="43" t="str">
        <f>IF(LEFT(F28&amp;"",3)="150",'C tider'!$C$12,IF(LEFT(F28&amp;"",3)="180",'C tider'!$D$12,IF(LEFT(F28&amp;"",3)="200",'C tider'!$E$12,"")))</f>
        <v/>
      </c>
      <c r="D28" s="41" t="str">
        <f>IFERROR(IF($H28="","",INDEX('Deltager info'!$U$6:$U$46,$H28-7)),"")</f>
        <v/>
      </c>
      <c r="E28" s="83"/>
      <c r="F28" s="51" t="str">
        <f>IFERROR(IF($H28="","",INDEX('Deltager info'!$N$6:$N$46,$H28-7)),"")</f>
        <v/>
      </c>
      <c r="G28" s="40" t="str">
        <f>IFERROR(IF('Deltager info'!$A28="","",'Deltager info'!$A28+ROW('Deltager info'!$A28)/1000000),"")</f>
        <v/>
      </c>
      <c r="H28" s="40" t="str">
        <f>IFERROR(MATCH(SMALL($G$6:$G$46,23),$G$6:$G$46,0)+7,"")</f>
        <v/>
      </c>
    </row>
    <row r="29" spans="1:8" s="40" customFormat="1" ht="15" customHeight="1">
      <c r="A29" s="39" t="str">
        <f>IFERROR(IF($H29="","",INDEX('Deltager info'!$A$6:$A$46,$H29-7)),"")</f>
        <v/>
      </c>
      <c r="B29" s="40" t="str">
        <f>IFERROR(IF($H29="","",INDEX('Deltager info'!$B$6:$B$46,$H29-7)),"")</f>
        <v/>
      </c>
      <c r="C29" s="43" t="str">
        <f>IF(LEFT(F29&amp;"",3)="150",'C tider'!$C$12,IF(LEFT(F29&amp;"",3)="180",'C tider'!$D$12,IF(LEFT(F29&amp;"",3)="200",'C tider'!$E$12,"")))</f>
        <v/>
      </c>
      <c r="D29" s="41" t="str">
        <f>IFERROR(IF($H29="","",INDEX('Deltager info'!$U$6:$U$46,$H29-7)),"")</f>
        <v/>
      </c>
      <c r="E29" s="83"/>
      <c r="F29" s="51" t="str">
        <f>IFERROR(IF($H29="","",INDEX('Deltager info'!$N$6:$N$46,$H29-7)),"")</f>
        <v/>
      </c>
      <c r="G29" s="40" t="str">
        <f>IFERROR(IF('Deltager info'!$A29="","",'Deltager info'!$A29+ROW('Deltager info'!$A29)/1000000),"")</f>
        <v/>
      </c>
      <c r="H29" s="40" t="str">
        <f>IFERROR(MATCH(SMALL($G$6:$G$46,24),$G$6:$G$46,0)+7,"")</f>
        <v/>
      </c>
    </row>
    <row r="30" spans="1:8" s="40" customFormat="1" ht="15" customHeight="1">
      <c r="A30" s="39" t="str">
        <f>IFERROR(IF($H30="","",INDEX('Deltager info'!$A$6:$A$46,$H30-7)),"")</f>
        <v/>
      </c>
      <c r="B30" s="40" t="str">
        <f>IFERROR(IF($H30="","",INDEX('Deltager info'!$B$6:$B$46,$H30-7)),"")</f>
        <v/>
      </c>
      <c r="C30" s="43" t="str">
        <f>IF(LEFT(F30&amp;"",3)="150",'C tider'!$C$12,IF(LEFT(F30&amp;"",3)="180",'C tider'!$D$12,IF(LEFT(F30&amp;"",3)="200",'C tider'!$E$12,"")))</f>
        <v/>
      </c>
      <c r="D30" s="41" t="str">
        <f>IFERROR(IF($H30="","",INDEX('Deltager info'!$U$6:$U$46,$H30-7)),"")</f>
        <v/>
      </c>
      <c r="E30" s="83"/>
      <c r="F30" s="51" t="str">
        <f>IFERROR(IF($H30="","",INDEX('Deltager info'!$N$6:$N$46,$H30-7)),"")</f>
        <v/>
      </c>
      <c r="G30" s="40" t="str">
        <f>IFERROR(IF('Deltager info'!$A30="","",'Deltager info'!$A30+ROW('Deltager info'!$A30)/1000000),"")</f>
        <v/>
      </c>
      <c r="H30" s="40" t="str">
        <f>IFERROR(MATCH(SMALL($G$6:$G$46,25),$G$6:$G$46,0)+7,"")</f>
        <v/>
      </c>
    </row>
    <row r="31" spans="1:8" s="40" customFormat="1" ht="15" customHeight="1">
      <c r="A31" s="39" t="str">
        <f>IFERROR(IF($H31="","",INDEX('Deltager info'!$A$6:$A$46,$H31-7)),"")</f>
        <v/>
      </c>
      <c r="B31" s="40" t="str">
        <f>IFERROR(IF($H31="","",INDEX('Deltager info'!$B$6:$B$46,$H31-7)),"")</f>
        <v/>
      </c>
      <c r="C31" s="43" t="str">
        <f>IF(LEFT(F31&amp;"",3)="150",'C tider'!$C$12,IF(LEFT(F31&amp;"",3)="180",'C tider'!$D$12,IF(LEFT(F31&amp;"",3)="200",'C tider'!$E$12,"")))</f>
        <v/>
      </c>
      <c r="D31" s="41" t="str">
        <f>IFERROR(IF($H31="","",INDEX('Deltager info'!$U$6:$U$46,$H31-7)),"")</f>
        <v/>
      </c>
      <c r="E31" s="83"/>
      <c r="F31" s="51" t="str">
        <f>IFERROR(IF($H31="","",INDEX('Deltager info'!$N$6:$N$46,$H31-7)),"")</f>
        <v/>
      </c>
      <c r="G31" s="40" t="str">
        <f>IFERROR(IF('Deltager info'!$A31="","",'Deltager info'!$A31+ROW('Deltager info'!$A31)/1000000),"")</f>
        <v/>
      </c>
      <c r="H31" s="40" t="str">
        <f>IFERROR(MATCH(SMALL($G$6:$G$46,26),$G$6:$G$46,0)+7,"")</f>
        <v/>
      </c>
    </row>
    <row r="32" spans="1:8" s="40" customFormat="1" ht="15" customHeight="1">
      <c r="A32" s="39" t="str">
        <f>IFERROR(IF($H32="","",INDEX('Deltager info'!$A$6:$A$46,$H32-7)),"")</f>
        <v/>
      </c>
      <c r="B32" s="40" t="str">
        <f>IFERROR(IF($H32="","",INDEX('Deltager info'!$B$6:$B$46,$H32-7)),"")</f>
        <v/>
      </c>
      <c r="C32" s="43" t="str">
        <f>IF(LEFT(F32&amp;"",3)="150",'C tider'!$C$12,IF(LEFT(F32&amp;"",3)="180",'C tider'!$D$12,IF(LEFT(F32&amp;"",3)="200",'C tider'!$E$12,"")))</f>
        <v/>
      </c>
      <c r="D32" s="41" t="str">
        <f>IFERROR(IF($H32="","",INDEX('Deltager info'!$U$6:$U$46,$H32-7)),"")</f>
        <v/>
      </c>
      <c r="E32" s="83"/>
      <c r="F32" s="51" t="str">
        <f>IFERROR(IF($H32="","",INDEX('Deltager info'!$N$6:$N$46,$H32-7)),"")</f>
        <v/>
      </c>
      <c r="G32" s="40" t="str">
        <f>IFERROR(IF('Deltager info'!$A32="","",'Deltager info'!$A32+ROW('Deltager info'!$A32)/1000000),"")</f>
        <v/>
      </c>
      <c r="H32" s="40" t="str">
        <f>IFERROR(MATCH(SMALL($G$6:$G$46,27),$G$6:$G$46,0)+7,"")</f>
        <v/>
      </c>
    </row>
    <row r="33" spans="1:8" s="40" customFormat="1" ht="15" customHeight="1">
      <c r="A33" s="39" t="str">
        <f>IFERROR(IF($H33="","",INDEX('Deltager info'!$A$6:$A$46,$H33-7)),"")</f>
        <v/>
      </c>
      <c r="B33" s="40" t="str">
        <f>IFERROR(IF($H33="","",INDEX('Deltager info'!$B$6:$B$46,$H33-7)),"")</f>
        <v/>
      </c>
      <c r="C33" s="43" t="str">
        <f>IF(LEFT(F33&amp;"",3)="150",'C tider'!$C$12,IF(LEFT(F33&amp;"",3)="180",'C tider'!$D$12,IF(LEFT(F33&amp;"",3)="200",'C tider'!$E$12,"")))</f>
        <v/>
      </c>
      <c r="D33" s="41" t="str">
        <f>IFERROR(IF($H33="","",INDEX('Deltager info'!$U$6:$U$46,$H33-7)),"")</f>
        <v/>
      </c>
      <c r="E33" s="83"/>
      <c r="F33" s="51" t="str">
        <f>IFERROR(IF($H33="","",INDEX('Deltager info'!$N$6:$N$46,$H33-7)),"")</f>
        <v/>
      </c>
      <c r="G33" s="40" t="str">
        <f>IFERROR(IF('Deltager info'!$A33="","",'Deltager info'!$A33+ROW('Deltager info'!$A33)/1000000),"")</f>
        <v/>
      </c>
      <c r="H33" s="40" t="str">
        <f>IFERROR(MATCH(SMALL($G$6:$G$46,28),$G$6:$G$46,0)+7,"")</f>
        <v/>
      </c>
    </row>
    <row r="34" spans="1:8" s="40" customFormat="1" ht="15" customHeight="1">
      <c r="A34" s="39" t="str">
        <f>IFERROR(IF($H34="","",INDEX('Deltager info'!$A$6:$A$46,$H34-7)),"")</f>
        <v/>
      </c>
      <c r="B34" s="40" t="str">
        <f>IFERROR(IF($H34="","",INDEX('Deltager info'!$B$6:$B$46,$H34-7)),"")</f>
        <v/>
      </c>
      <c r="C34" s="43" t="str">
        <f>IF(LEFT(F34&amp;"",3)="150",'C tider'!$C$12,IF(LEFT(F34&amp;"",3)="180",'C tider'!$D$12,IF(LEFT(F34&amp;"",3)="200",'C tider'!$E$12,"")))</f>
        <v/>
      </c>
      <c r="D34" s="41" t="str">
        <f>IFERROR(IF($H34="","",INDEX('Deltager info'!$U$6:$U$46,$H34-7)),"")</f>
        <v/>
      </c>
      <c r="E34" s="83"/>
      <c r="F34" s="51" t="str">
        <f>IFERROR(IF($H34="","",INDEX('Deltager info'!$N$6:$N$46,$H34-7)),"")</f>
        <v/>
      </c>
      <c r="G34" s="40" t="str">
        <f>IFERROR(IF('Deltager info'!$A34="","",'Deltager info'!$A34+ROW('Deltager info'!$A34)/1000000),"")</f>
        <v/>
      </c>
      <c r="H34" s="40" t="str">
        <f>IFERROR(MATCH(SMALL($G$6:$G$46,29),$G$6:$G$46,0)+7,"")</f>
        <v/>
      </c>
    </row>
    <row r="35" spans="1:8" s="40" customFormat="1" ht="15" customHeight="1">
      <c r="A35" s="39" t="str">
        <f>IFERROR(IF($H35="","",INDEX('Deltager info'!$A$6:$A$46,$H35-7)),"")</f>
        <v/>
      </c>
      <c r="B35" s="40" t="str">
        <f>IFERROR(IF($H35="","",INDEX('Deltager info'!$B$6:$B$46,$H35-7)),"")</f>
        <v/>
      </c>
      <c r="C35" s="43" t="str">
        <f>IF(LEFT(F35&amp;"",3)="150",'C tider'!$C$12,IF(LEFT(F35&amp;"",3)="180",'C tider'!$D$12,IF(LEFT(F35&amp;"",3)="200",'C tider'!$E$12,"")))</f>
        <v/>
      </c>
      <c r="D35" s="41" t="str">
        <f>IFERROR(IF($H35="","",INDEX('Deltager info'!$U$6:$U$46,$H35-7)),"")</f>
        <v/>
      </c>
      <c r="E35" s="83"/>
      <c r="F35" s="51" t="str">
        <f>IFERROR(IF($H35="","",INDEX('Deltager info'!$N$6:$N$46,$H35-7)),"")</f>
        <v/>
      </c>
      <c r="G35" s="40" t="str">
        <f>IFERROR(IF('Deltager info'!$A35="","",'Deltager info'!$A35+ROW('Deltager info'!$A35)/1000000),"")</f>
        <v/>
      </c>
      <c r="H35" s="40" t="str">
        <f>IFERROR(MATCH(SMALL($G$6:$G$46,30),$G$6:$G$46,0)+7,"")</f>
        <v/>
      </c>
    </row>
    <row r="36" spans="1:8" s="40" customFormat="1" ht="15" customHeight="1">
      <c r="A36" s="39" t="str">
        <f>IFERROR(IF($H36="","",INDEX('Deltager info'!$A$6:$A$46,$H36-7)),"")</f>
        <v/>
      </c>
      <c r="B36" s="40" t="str">
        <f>IFERROR(IF($H36="","",INDEX('Deltager info'!$B$6:$B$46,$H36-7)),"")</f>
        <v/>
      </c>
      <c r="C36" s="43" t="str">
        <f>IF(LEFT(F36&amp;"",3)="150",'C tider'!$C$12,IF(LEFT(F36&amp;"",3)="180",'C tider'!$D$12,IF(LEFT(F36&amp;"",3)="200",'C tider'!$E$12,"")))</f>
        <v/>
      </c>
      <c r="D36" s="41" t="str">
        <f>IFERROR(IF($H36="","",INDEX('Deltager info'!$U$6:$U$46,$H36-7)),"")</f>
        <v/>
      </c>
      <c r="E36" s="83"/>
      <c r="F36" s="51" t="str">
        <f>IFERROR(IF($H36="","",INDEX('Deltager info'!$N$6:$N$46,$H36-7)),"")</f>
        <v/>
      </c>
      <c r="G36" s="40" t="str">
        <f>IFERROR(IF('Deltager info'!$A36="","",'Deltager info'!$A36+ROW('Deltager info'!$A36)/1000000),"")</f>
        <v/>
      </c>
      <c r="H36" s="40" t="str">
        <f>IFERROR(MATCH(SMALL($G$6:$G$46,31),$G$6:$G$46,0)+7,"")</f>
        <v/>
      </c>
    </row>
    <row r="37" spans="1:8" s="40" customFormat="1" ht="15" customHeight="1">
      <c r="A37" s="39" t="str">
        <f>IFERROR(IF($H37="","",INDEX('Deltager info'!$A$6:$A$46,$H37-7)),"")</f>
        <v/>
      </c>
      <c r="B37" s="40" t="str">
        <f>IFERROR(IF($H37="","",INDEX('Deltager info'!$B$6:$B$46,$H37-7)),"")</f>
        <v/>
      </c>
      <c r="C37" s="43" t="str">
        <f>IF(LEFT(F37&amp;"",3)="150",'C tider'!$C$12,IF(LEFT(F37&amp;"",3)="180",'C tider'!$D$12,IF(LEFT(F37&amp;"",3)="200",'C tider'!$E$12,"")))</f>
        <v/>
      </c>
      <c r="D37" s="41" t="str">
        <f>IFERROR(IF($H37="","",INDEX('Deltager info'!$U$6:$U$46,$H37-7)),"")</f>
        <v/>
      </c>
      <c r="E37" s="83"/>
      <c r="F37" s="51" t="str">
        <f>IFERROR(IF($H37="","",INDEX('Deltager info'!$N$6:$N$46,$H37-7)),"")</f>
        <v/>
      </c>
      <c r="G37" s="40" t="str">
        <f>IFERROR(IF('Deltager info'!$A37="","",'Deltager info'!$A37+ROW('Deltager info'!$A37)/1000000),"")</f>
        <v/>
      </c>
      <c r="H37" s="40" t="str">
        <f>IFERROR(MATCH(SMALL($G$6:$G$46,32),$G$6:$G$46,0)+7,"")</f>
        <v/>
      </c>
    </row>
    <row r="38" spans="1:8" s="40" customFormat="1" ht="15" customHeight="1">
      <c r="A38" s="39" t="str">
        <f>IFERROR(IF($H38="","",INDEX('Deltager info'!$A$6:$A$46,$H38-7)),"")</f>
        <v/>
      </c>
      <c r="B38" s="40" t="str">
        <f>IFERROR(IF($H38="","",INDEX('Deltager info'!$B$6:$B$46,$H38-7)),"")</f>
        <v/>
      </c>
      <c r="C38" s="43" t="str">
        <f>IF(LEFT(F38&amp;"",3)="150",'C tider'!$C$12,IF(LEFT(F38&amp;"",3)="180",'C tider'!$D$12,IF(LEFT(F38&amp;"",3)="200",'C tider'!$E$12,"")))</f>
        <v/>
      </c>
      <c r="D38" s="41" t="str">
        <f>IFERROR(IF($H38="","",INDEX('Deltager info'!$U$6:$U$46,$H38-7)),"")</f>
        <v/>
      </c>
      <c r="E38" s="83"/>
      <c r="F38" s="51" t="str">
        <f>IFERROR(IF($H38="","",INDEX('Deltager info'!$N$6:$N$46,$H38-7)),"")</f>
        <v/>
      </c>
      <c r="G38" s="40" t="str">
        <f>IFERROR(IF('Deltager info'!$A38="","",'Deltager info'!$A38+ROW('Deltager info'!$A38)/1000000),"")</f>
        <v/>
      </c>
      <c r="H38" s="40" t="str">
        <f>IFERROR(MATCH(SMALL($G$6:$G$46,33),$G$6:$G$46,0)+7,"")</f>
        <v/>
      </c>
    </row>
    <row r="39" spans="1:8" s="40" customFormat="1" ht="15" customHeight="1">
      <c r="A39" s="39" t="str">
        <f>IFERROR(IF($H39="","",INDEX('Deltager info'!$A$6:$A$46,$H39-7)),"")</f>
        <v/>
      </c>
      <c r="B39" s="40" t="str">
        <f>IFERROR(IF($H39="","",INDEX('Deltager info'!$B$6:$B$46,$H39-7)),"")</f>
        <v/>
      </c>
      <c r="C39" s="43" t="str">
        <f>IF(LEFT(F39&amp;"",3)="150",'C tider'!$C$12,IF(LEFT(F39&amp;"",3)="180",'C tider'!$D$12,IF(LEFT(F39&amp;"",3)="200",'C tider'!$E$12,"")))</f>
        <v/>
      </c>
      <c r="D39" s="41" t="str">
        <f>IFERROR(IF($H39="","",INDEX('Deltager info'!$U$6:$U$46,$H39-7)),"")</f>
        <v/>
      </c>
      <c r="E39" s="83"/>
      <c r="F39" s="51" t="str">
        <f>IFERROR(IF($H39="","",INDEX('Deltager info'!$N$6:$N$46,$H39-7)),"")</f>
        <v/>
      </c>
      <c r="G39" s="40" t="str">
        <f>IFERROR(IF('Deltager info'!$A39="","",'Deltager info'!$A39+ROW('Deltager info'!$A39)/1000000),"")</f>
        <v/>
      </c>
      <c r="H39" s="40" t="str">
        <f>IFERROR(MATCH(SMALL($G$6:$G$46,34),$G$6:$G$46,0)+7,"")</f>
        <v/>
      </c>
    </row>
    <row r="40" spans="1:8" s="40" customFormat="1" ht="15" customHeight="1">
      <c r="A40" s="39" t="str">
        <f>IFERROR(IF($H40="","",INDEX('Deltager info'!$A$6:$A$46,$H40-7)),"")</f>
        <v/>
      </c>
      <c r="B40" s="40" t="str">
        <f>IFERROR(IF($H40="","",INDEX('Deltager info'!$B$6:$B$46,$H40-7)),"")</f>
        <v/>
      </c>
      <c r="C40" s="43" t="str">
        <f>IF(LEFT(F40&amp;"",3)="150",'C tider'!$C$12,IF(LEFT(F40&amp;"",3)="180",'C tider'!$D$12,IF(LEFT(F40&amp;"",3)="200",'C tider'!$E$12,"")))</f>
        <v/>
      </c>
      <c r="D40" s="41" t="str">
        <f>IFERROR(IF($H40="","",INDEX('Deltager info'!$U$6:$U$46,$H40-7)),"")</f>
        <v/>
      </c>
      <c r="E40" s="83"/>
      <c r="F40" s="51" t="str">
        <f>IFERROR(IF($H40="","",INDEX('Deltager info'!$N$6:$N$46,$H40-7)),"")</f>
        <v/>
      </c>
      <c r="G40" s="40" t="str">
        <f>IFERROR(IF('Deltager info'!$A40="","",'Deltager info'!$A40+ROW('Deltager info'!$A40)/1000000),"")</f>
        <v/>
      </c>
      <c r="H40" s="40" t="str">
        <f>IFERROR(MATCH(SMALL($G$6:$G$46,35),$G$6:$G$46,0)+7,"")</f>
        <v/>
      </c>
    </row>
    <row r="41" spans="1:8" s="40" customFormat="1" ht="15" customHeight="1">
      <c r="A41" s="39" t="str">
        <f>IFERROR(IF($H41="","",INDEX('Deltager info'!$A$6:$A$46,$H41-7)),"")</f>
        <v/>
      </c>
      <c r="B41" s="40" t="str">
        <f>IFERROR(IF($H41="","",INDEX('Deltager info'!$B$6:$B$46,$H41-7)),"")</f>
        <v/>
      </c>
      <c r="C41" s="43" t="str">
        <f>IF(LEFT(F41&amp;"",3)="150",'C tider'!$C$12,IF(LEFT(F41&amp;"",3)="180",'C tider'!$D$12,IF(LEFT(F41&amp;"",3)="200",'C tider'!$E$12,"")))</f>
        <v/>
      </c>
      <c r="D41" s="41" t="str">
        <f>IFERROR(IF($H41="","",INDEX('Deltager info'!$U$6:$U$46,$H41-7)),"")</f>
        <v/>
      </c>
      <c r="E41" s="83"/>
      <c r="F41" s="51" t="str">
        <f>IFERROR(IF($H41="","",INDEX('Deltager info'!$N$6:$N$46,$H41-7)),"")</f>
        <v/>
      </c>
      <c r="G41" s="40" t="str">
        <f>IFERROR(IF('Deltager info'!$A41="","",'Deltager info'!$A41+ROW('Deltager info'!$A41)/1000000),"")</f>
        <v/>
      </c>
      <c r="H41" s="40" t="str">
        <f>IFERROR(MATCH(SMALL($G$6:$G$46,36),$G$6:$G$46,0)+7,"")</f>
        <v/>
      </c>
    </row>
    <row r="42" spans="1:8" s="40" customFormat="1" ht="15" customHeight="1">
      <c r="A42" s="39" t="str">
        <f>IFERROR(IF($H42="","",INDEX('Deltager info'!$A$6:$A$46,$H42-7)),"")</f>
        <v/>
      </c>
      <c r="B42" s="40" t="str">
        <f>IFERROR(IF($H42="","",INDEX('Deltager info'!$B$6:$B$46,$H42-7)),"")</f>
        <v/>
      </c>
      <c r="C42" s="43" t="str">
        <f>IF(LEFT(F42&amp;"",3)="150",'C tider'!$C$12,IF(LEFT(F42&amp;"",3)="180",'C tider'!$D$12,IF(LEFT(F42&amp;"",3)="200",'C tider'!$E$12,"")))</f>
        <v/>
      </c>
      <c r="D42" s="41" t="str">
        <f>IFERROR(IF($H42="","",INDEX('Deltager info'!$U$6:$U$46,$H42-7)),"")</f>
        <v/>
      </c>
      <c r="E42" s="83"/>
      <c r="F42" s="51" t="str">
        <f>IFERROR(IF($H42="","",INDEX('Deltager info'!$N$6:$N$46,$H42-7)),"")</f>
        <v/>
      </c>
      <c r="G42" s="40" t="str">
        <f>IFERROR(IF('Deltager info'!$A42="","",'Deltager info'!$A42+ROW('Deltager info'!$A42)/1000000),"")</f>
        <v/>
      </c>
      <c r="H42" s="40" t="str">
        <f>IFERROR(MATCH(SMALL($G$6:$G$46,37),$G$6:$G$46,0)+7,"")</f>
        <v/>
      </c>
    </row>
    <row r="43" spans="1:8" s="40" customFormat="1" ht="15" customHeight="1">
      <c r="A43" s="39" t="str">
        <f>IFERROR(IF($H43="","",INDEX('Deltager info'!$A$6:$A$46,$H43-7)),"")</f>
        <v/>
      </c>
      <c r="B43" s="40" t="str">
        <f>IFERROR(IF($H43="","",INDEX('Deltager info'!$B$6:$B$46,$H43-7)),"")</f>
        <v/>
      </c>
      <c r="C43" s="43" t="str">
        <f>IF(LEFT(F43&amp;"",3)="150",'C tider'!$C$12,IF(LEFT(F43&amp;"",3)="180",'C tider'!$D$12,IF(LEFT(F43&amp;"",3)="200",'C tider'!$E$12,"")))</f>
        <v/>
      </c>
      <c r="D43" s="41" t="str">
        <f>IFERROR(IF($H43="","",INDEX('Deltager info'!$U$6:$U$46,$H43-7)),"")</f>
        <v/>
      </c>
      <c r="E43" s="83"/>
      <c r="F43" s="51" t="str">
        <f>IFERROR(IF($H43="","",INDEX('Deltager info'!$N$6:$N$46,$H43-7)),"")</f>
        <v/>
      </c>
      <c r="G43" s="40" t="str">
        <f>IFERROR(IF('Deltager info'!$A43="","",'Deltager info'!$A43+ROW('Deltager info'!$A43)/1000000),"")</f>
        <v/>
      </c>
      <c r="H43" s="40" t="str">
        <f>IFERROR(MATCH(SMALL($G$6:$G$46,38),$G$6:$G$46,0)+7,"")</f>
        <v/>
      </c>
    </row>
    <row r="44" spans="1:8" s="40" customFormat="1" ht="15" customHeight="1">
      <c r="A44" s="39" t="str">
        <f>IFERROR(IF($H44="","",INDEX('Deltager info'!$A$6:$A$46,$H44-7)),"")</f>
        <v/>
      </c>
      <c r="B44" s="40" t="str">
        <f>IFERROR(IF($H44="","",INDEX('Deltager info'!$B$6:$B$46,$H44-7)),"")</f>
        <v/>
      </c>
      <c r="C44" s="43" t="str">
        <f>IF(LEFT(F44&amp;"",3)="150",'C tider'!$C$12,IF(LEFT(F44&amp;"",3)="180",'C tider'!$D$12,IF(LEFT(F44&amp;"",3)="200",'C tider'!$E$12,"")))</f>
        <v/>
      </c>
      <c r="D44" s="41" t="str">
        <f>IFERROR(IF($H44="","",INDEX('Deltager info'!$U$6:$U$46,$H44-7)),"")</f>
        <v/>
      </c>
      <c r="E44" s="83"/>
      <c r="F44" s="51" t="str">
        <f>IFERROR(IF($H44="","",INDEX('Deltager info'!$N$6:$N$46,$H44-7)),"")</f>
        <v/>
      </c>
      <c r="G44" s="40" t="str">
        <f>IFERROR(IF('Deltager info'!$A44="","",'Deltager info'!$A44+ROW('Deltager info'!$A44)/1000000),"")</f>
        <v/>
      </c>
      <c r="H44" s="40" t="str">
        <f>IFERROR(MATCH(SMALL($G$6:$G$46,39),$G$6:$G$46,0)+7,"")</f>
        <v/>
      </c>
    </row>
    <row r="45" spans="1:8" s="40" customFormat="1" ht="15" customHeight="1">
      <c r="A45" s="39" t="str">
        <f>IFERROR(IF($H45="","",INDEX('Deltager info'!$A$6:$A$46,$H45-7)),"")</f>
        <v/>
      </c>
      <c r="B45" s="40" t="str">
        <f>IFERROR(IF($H45="","",INDEX('Deltager info'!$B$6:$B$46,$H45-7)),"")</f>
        <v/>
      </c>
      <c r="C45" s="43" t="str">
        <f>IF(LEFT(F45&amp;"",3)="150",'C tider'!$C$12,IF(LEFT(F45&amp;"",3)="180",'C tider'!$D$12,IF(LEFT(F45&amp;"",3)="200",'C tider'!$E$12,"")))</f>
        <v/>
      </c>
      <c r="D45" s="41" t="str">
        <f>IFERROR(IF($H45="","",INDEX('Deltager info'!$U$6:$U$46,$H45-7)),"")</f>
        <v/>
      </c>
      <c r="E45" s="83"/>
      <c r="F45" s="51" t="str">
        <f>IFERROR(IF($H45="","",INDEX('Deltager info'!$N$6:$N$46,$H45-7)),"")</f>
        <v/>
      </c>
      <c r="G45" s="40" t="str">
        <f>IFERROR(IF('Deltager info'!$A45="","",'Deltager info'!$A45+ROW('Deltager info'!$A45)/1000000),"")</f>
        <v/>
      </c>
      <c r="H45" s="40" t="str">
        <f>IFERROR(MATCH(SMALL($G$6:$G$46,40),$G$6:$G$46,0)+7,"")</f>
        <v/>
      </c>
    </row>
    <row r="46" spans="1:8" s="40" customFormat="1" ht="15" customHeight="1">
      <c r="A46" s="39" t="str">
        <f>IFERROR(IF($H46="","",INDEX('Deltager info'!$A$6:$A$46,$H46-7)),"")</f>
        <v/>
      </c>
      <c r="B46" s="40" t="str">
        <f>IFERROR(IF($H46="","",INDEX('Deltager info'!$B$6:$B$46,$H46-7)),"")</f>
        <v/>
      </c>
      <c r="C46" s="43" t="str">
        <f>IF(LEFT(F46&amp;"",3)="150",'C tider'!$C$12,IF(LEFT(F46&amp;"",3)="180",'C tider'!$D$12,IF(LEFT(F46&amp;"",3)="200",'C tider'!$E$12,"")))</f>
        <v/>
      </c>
      <c r="D46" s="41" t="str">
        <f>IFERROR(IF($H46="","",INDEX('Deltager info'!$U$6:$U$46,$H46-7)),"")</f>
        <v/>
      </c>
      <c r="E46" s="83"/>
      <c r="F46" s="51" t="str">
        <f>IFERROR(IF($H46="","",INDEX('Deltager info'!$N$6:$N$46,$H46-7)),"")</f>
        <v/>
      </c>
      <c r="G46" s="40" t="str">
        <f>IFERROR(IF('Deltager info'!$A46="","",'Deltager info'!$A46+ROW('Deltager info'!$A46)/1000000),"")</f>
        <v/>
      </c>
      <c r="H46" s="40" t="str">
        <f>IFERROR(MATCH(SMALL($G$6:$G$46,41),$G$6:$G$46,0)+7,"")</f>
        <v/>
      </c>
    </row>
    <row r="47" spans="1:8" ht="15" customHeight="1">
      <c r="A47" s="71"/>
      <c r="B47" s="74"/>
      <c r="C47" s="84"/>
      <c r="D47" s="74"/>
      <c r="E47" s="66"/>
      <c r="F47" s="66"/>
      <c r="G47" s="74"/>
      <c r="H47" s="74"/>
    </row>
  </sheetData>
  <mergeCells count="6">
    <mergeCell ref="A1:D2"/>
    <mergeCell ref="B4:B5"/>
    <mergeCell ref="C4:C5"/>
    <mergeCell ref="A4:A5"/>
    <mergeCell ref="D4:D5"/>
    <mergeCell ref="A3:D3"/>
  </mergeCells>
  <pageMargins left="0.35433070866141736" right="0.35433070866141736" top="0.55118110236220474" bottom="0.55118110236220474" header="0.23622047244094491" footer="0.23622047244094491"/>
  <pageSetup paperSize="9" fitToHeight="0" orientation="portrait" r:id="rId1"/>
  <headerFooter>
    <oddFooter>&amp;LArrangør dokument v 5.0 Classic&amp;C&amp;D&amp;RSide &amp;P af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48"/>
  <sheetViews>
    <sheetView zoomScale="70" zoomScaleNormal="70" workbookViewId="0">
      <selection activeCell="A2" sqref="A2"/>
    </sheetView>
  </sheetViews>
  <sheetFormatPr defaultRowHeight="14.5"/>
  <cols>
    <col min="1" max="1" width="6" style="1" customWidth="1"/>
    <col min="2" max="2" width="22.1796875" style="1" customWidth="1"/>
    <col min="3" max="3" width="2" style="1" customWidth="1"/>
    <col min="4" max="5" width="8.7265625" style="1" customWidth="1"/>
    <col min="6" max="6" width="8.453125" style="1" customWidth="1"/>
    <col min="7" max="7" width="10.81640625" style="1" customWidth="1"/>
    <col min="8" max="8" width="8.90625" style="1" customWidth="1"/>
    <col min="9" max="9" width="8.81640625" style="1" customWidth="1"/>
    <col min="10" max="10" width="2" style="1" customWidth="1"/>
    <col min="11" max="13" width="6" style="1" customWidth="1"/>
    <col min="14" max="14" width="5.81640625" style="1" customWidth="1"/>
    <col min="15" max="15" width="6" style="1" customWidth="1"/>
    <col min="16" max="17" width="5.81640625" style="1" customWidth="1"/>
    <col min="18" max="19" width="12.453125" style="1" customWidth="1"/>
    <col min="20" max="20" width="10.453125" style="1" customWidth="1"/>
    <col min="21" max="21" width="1.81640625" style="1" customWidth="1"/>
    <col min="22" max="22" width="10" style="1" customWidth="1"/>
    <col min="23" max="23" width="8.81640625" style="1" customWidth="1"/>
    <col min="24" max="24" width="19.1796875" style="44" customWidth="1"/>
    <col min="25" max="25" width="9" style="37" customWidth="1"/>
    <col min="26" max="26" width="9.54296875" style="1" customWidth="1"/>
    <col min="27" max="27" width="1.81640625" style="1" customWidth="1"/>
    <col min="28" max="28" width="12.453125" style="1" customWidth="1"/>
    <col min="29" max="29" width="8.6328125" style="3" customWidth="1"/>
    <col min="30" max="30" width="23.453125" style="1" customWidth="1"/>
    <col min="31" max="31" width="8.7265625" style="1" customWidth="1"/>
    <col min="32" max="16384" width="8.7265625" style="1"/>
  </cols>
  <sheetData>
    <row r="1" spans="1:30" s="5" customFormat="1" ht="18.5" customHeight="1">
      <c r="A1" s="175" t="s">
        <v>116</v>
      </c>
      <c r="B1" s="176"/>
      <c r="C1" s="176"/>
      <c r="D1" s="176"/>
      <c r="E1" s="176"/>
      <c r="F1" s="17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X1" s="45"/>
      <c r="Y1" s="33"/>
      <c r="AC1" s="6"/>
    </row>
    <row r="2" spans="1:30">
      <c r="A2" s="7"/>
      <c r="B2" s="7"/>
      <c r="D2" s="7"/>
      <c r="E2" s="7"/>
      <c r="F2" s="7"/>
      <c r="G2" s="7"/>
      <c r="H2" s="7"/>
      <c r="I2" s="7"/>
      <c r="K2" s="7"/>
      <c r="L2" s="7"/>
      <c r="M2" s="7"/>
      <c r="N2" s="7"/>
      <c r="O2" s="7"/>
      <c r="P2" s="7"/>
      <c r="Q2" s="7"/>
      <c r="R2" s="7"/>
      <c r="S2" s="7"/>
      <c r="T2" s="7"/>
      <c r="V2" s="7"/>
      <c r="W2" s="7"/>
      <c r="X2" s="46"/>
      <c r="Y2" s="34"/>
      <c r="Z2" s="7"/>
      <c r="AB2" s="7"/>
      <c r="AC2" s="8"/>
      <c r="AD2" s="7"/>
    </row>
    <row r="3" spans="1:30" s="10" customFormat="1">
      <c r="A3" s="9"/>
      <c r="C3" s="12"/>
      <c r="D3" s="10" t="s">
        <v>49</v>
      </c>
      <c r="J3" s="12"/>
      <c r="K3" s="53" t="s">
        <v>50</v>
      </c>
      <c r="U3" s="12"/>
      <c r="V3" s="13" t="s">
        <v>51</v>
      </c>
      <c r="X3" s="47"/>
      <c r="Y3" s="35"/>
      <c r="AA3" s="12"/>
      <c r="AB3" s="13" t="s">
        <v>52</v>
      </c>
      <c r="AC3" s="11"/>
      <c r="AD3" s="14"/>
    </row>
    <row r="4" spans="1:30" s="10" customFormat="1">
      <c r="A4" s="177" t="s">
        <v>53</v>
      </c>
      <c r="B4" s="185" t="s">
        <v>7</v>
      </c>
      <c r="C4" s="12"/>
      <c r="D4" s="183" t="s">
        <v>54</v>
      </c>
      <c r="E4" s="183" t="s">
        <v>55</v>
      </c>
      <c r="F4" s="183" t="s">
        <v>56</v>
      </c>
      <c r="G4" s="183" t="s">
        <v>57</v>
      </c>
      <c r="H4" s="183" t="s">
        <v>58</v>
      </c>
      <c r="I4" s="183" t="s">
        <v>59</v>
      </c>
      <c r="J4" s="12"/>
      <c r="K4" s="177" t="s">
        <v>60</v>
      </c>
      <c r="L4" s="183" t="s">
        <v>61</v>
      </c>
      <c r="M4" s="183" t="s">
        <v>62</v>
      </c>
      <c r="N4" s="183" t="s">
        <v>63</v>
      </c>
      <c r="O4" s="183" t="s">
        <v>64</v>
      </c>
      <c r="P4" s="183" t="s">
        <v>65</v>
      </c>
      <c r="Q4" s="183" t="s">
        <v>66</v>
      </c>
      <c r="R4" s="187" t="s">
        <v>67</v>
      </c>
      <c r="S4" s="183" t="s">
        <v>68</v>
      </c>
      <c r="T4" s="183" t="s">
        <v>59</v>
      </c>
      <c r="U4" s="12"/>
      <c r="V4" s="177" t="s">
        <v>69</v>
      </c>
      <c r="W4" s="183" t="s">
        <v>70</v>
      </c>
      <c r="X4" s="188" t="s">
        <v>71</v>
      </c>
      <c r="Y4" s="186" t="s">
        <v>68</v>
      </c>
      <c r="Z4" s="180" t="s">
        <v>59</v>
      </c>
      <c r="AA4" s="12"/>
      <c r="AB4" s="177" t="s">
        <v>72</v>
      </c>
      <c r="AC4" s="183" t="s">
        <v>73</v>
      </c>
      <c r="AD4" s="180" t="s">
        <v>74</v>
      </c>
    </row>
    <row r="5" spans="1:30" s="10" customFormat="1">
      <c r="A5" s="178"/>
      <c r="B5" s="149"/>
      <c r="C5" s="12"/>
      <c r="D5" s="149"/>
      <c r="E5" s="149"/>
      <c r="F5" s="149"/>
      <c r="G5" s="149"/>
      <c r="H5" s="149"/>
      <c r="I5" s="149"/>
      <c r="J5" s="12"/>
      <c r="K5" s="178"/>
      <c r="L5" s="149"/>
      <c r="M5" s="149"/>
      <c r="N5" s="149"/>
      <c r="O5" s="149"/>
      <c r="P5" s="149"/>
      <c r="Q5" s="149"/>
      <c r="R5" s="149"/>
      <c r="S5" s="149"/>
      <c r="T5" s="149"/>
      <c r="U5" s="12"/>
      <c r="V5" s="178"/>
      <c r="W5" s="149"/>
      <c r="X5" s="149"/>
      <c r="Y5" s="149"/>
      <c r="Z5" s="181"/>
      <c r="AA5" s="12"/>
      <c r="AB5" s="178"/>
      <c r="AC5" s="149"/>
      <c r="AD5" s="181"/>
    </row>
    <row r="6" spans="1:30">
      <c r="A6" s="179"/>
      <c r="B6" s="184"/>
      <c r="C6" s="85"/>
      <c r="D6" s="184"/>
      <c r="E6" s="184"/>
      <c r="F6" s="184"/>
      <c r="G6" s="184"/>
      <c r="H6" s="184"/>
      <c r="I6" s="184"/>
      <c r="J6" s="85"/>
      <c r="K6" s="179"/>
      <c r="L6" s="184"/>
      <c r="M6" s="184"/>
      <c r="N6" s="184"/>
      <c r="O6" s="184"/>
      <c r="P6" s="184"/>
      <c r="Q6" s="184"/>
      <c r="R6" s="184"/>
      <c r="S6" s="184"/>
      <c r="T6" s="184"/>
      <c r="U6" s="85"/>
      <c r="V6" s="179"/>
      <c r="W6" s="184"/>
      <c r="X6" s="184"/>
      <c r="Y6" s="184"/>
      <c r="Z6" s="182"/>
      <c r="AA6" s="85"/>
      <c r="AB6" s="179"/>
      <c r="AC6" s="184"/>
      <c r="AD6" s="182"/>
    </row>
    <row r="7" spans="1:30">
      <c r="A7" s="16" t="str">
        <f>'Deltager info'!A5</f>
        <v>Vogne før 1945</v>
      </c>
      <c r="B7" s="86"/>
      <c r="C7" s="85"/>
      <c r="D7" s="86"/>
      <c r="E7" s="86"/>
      <c r="F7" s="86"/>
      <c r="G7" s="86"/>
      <c r="H7" s="86"/>
      <c r="I7" s="86"/>
      <c r="J7" s="85"/>
      <c r="K7" s="87"/>
      <c r="L7" s="86"/>
      <c r="M7" s="86"/>
      <c r="N7" s="86"/>
      <c r="O7" s="86"/>
      <c r="P7" s="86"/>
      <c r="Q7" s="86"/>
      <c r="R7" s="86"/>
      <c r="S7" s="86"/>
      <c r="T7" s="86"/>
      <c r="U7" s="85"/>
      <c r="V7" s="87"/>
      <c r="W7" s="86"/>
      <c r="X7" s="88"/>
      <c r="Y7" s="89"/>
      <c r="Z7" s="90"/>
      <c r="AA7" s="85"/>
      <c r="AB7" s="87"/>
      <c r="AC7" s="86"/>
      <c r="AD7" s="90"/>
    </row>
    <row r="8" spans="1:30">
      <c r="A8" s="15" t="str">
        <f>IF('Deltager info'!A6="","",'Deltager info'!A6)</f>
        <v/>
      </c>
      <c r="B8" s="15" t="str">
        <f>IF('Deltager info'!B6="","",'Deltager info'!B6)</f>
        <v/>
      </c>
      <c r="C8" s="85"/>
      <c r="D8" s="126"/>
      <c r="E8" s="126"/>
      <c r="F8" s="126"/>
      <c r="G8" s="15" t="str">
        <f t="shared" ref="G8:G48" si="0">IF(D8="","",(D8+E8+F8)/(1+(E8&lt;&gt;"")+(F8&lt;&gt;"")))</f>
        <v/>
      </c>
      <c r="H8" s="126"/>
      <c r="I8" s="15" t="str">
        <f t="shared" ref="I8:I48" si="1">IF(G8="","",H8+(180-G8))</f>
        <v/>
      </c>
      <c r="J8" s="85"/>
      <c r="K8" s="126"/>
      <c r="L8" s="126"/>
      <c r="M8" s="126"/>
      <c r="N8" s="126"/>
      <c r="O8" s="126"/>
      <c r="P8" s="126"/>
      <c r="Q8" s="126"/>
      <c r="R8" s="127"/>
      <c r="S8" s="19" t="str">
        <f>IF(OR(ISBLANK(R8),'Deltager info'!$J6=""),"",IF(R8&lt;INDEX('B tider'!$C$11:$J$11,1,MATCH(VALUE(LEFT('Deltager info'!$J6,FIND(" ",'Deltager info'!$J6&amp;" ")-1)),'B tider'!$C$10:$J$10,0)),ROUNDUP(ROUND((INDEX('B tider'!$C$11:$J$11,1,MATCH(VALUE(LEFT('Deltager info'!$J6,FIND(" ",'Deltager info'!$J6&amp;" ")-1)),'B tider'!$C$10:$J$10,0))-R8)*86400,6),0)*0.2,IF(R8&gt;INDEX('B tider'!$C$13:$J$13,1,MATCH(VALUE(LEFT('Deltager info'!$J6,FIND(" ",'Deltager info'!$J6&amp;" ")-1)),'B tider'!$C$10:$J$10,0)),ROUNDUP(ROUND((R8-INDEX('B tider'!$C$13:$J$13,1,MATCH(VALUE(LEFT('Deltager info'!$J6,FIND(" ",'Deltager info'!$J6&amp;" ")-1)),'B tider'!$C$10:$J$10,0)))*86400,6),0)*0.2,0)))</f>
        <v/>
      </c>
      <c r="T8" s="15" t="str">
        <f t="shared" ref="T8:T27" si="2">IF(OR(R8="",S8=""),"",SUM(K8:Q8)+S8)</f>
        <v/>
      </c>
      <c r="U8" s="85"/>
      <c r="V8" s="126"/>
      <c r="W8" s="126"/>
      <c r="X8" s="128"/>
      <c r="Y8" s="36" t="str">
        <f>IF(ISBLANK(X8),"",IF(LEFT('Deltager info'!$N6,3)="150",MAX(0,ROUNDUP(ROUND(X8*86400-('C tider'!$C$6/150*60),6),0)*0.2),IF(LEFT('Deltager info'!$N6,3)="180",MAX(0,ROUNDUP(ROUND(X8*86400-('C tider'!$C$6/180*60),6),0)*0.2),IF(LEFT('Deltager info'!$N6,3)="200",MAX(0,ROUNDUP(ROUND(X8*86400-('C tider'!$C$6/200*60),6),0)*0.2),""))))</f>
        <v/>
      </c>
      <c r="Z8" s="15" t="str">
        <f t="shared" ref="Z8:Z27" si="3">IF(OR(X8="",Y8=""),"",SUM(V8:W8)+Y8)</f>
        <v/>
      </c>
      <c r="AA8" s="85"/>
      <c r="AB8" s="15" t="str">
        <f t="shared" ref="AB8:AB48" si="4">IF(I8="","",IF(T8="","",IF(Z8="","",I8+T8+Z8)))</f>
        <v/>
      </c>
      <c r="AC8" s="20" t="str">
        <f t="shared" ref="AC8:AC27" si="5">IF(AB8="","",1+COUNTIF($AB$8:$AB$27,"&lt;"&amp;AB8))</f>
        <v/>
      </c>
      <c r="AD8" s="15" t="str">
        <f t="shared" ref="AD8:AD48" si="6">IF(B8="","",B8)</f>
        <v/>
      </c>
    </row>
    <row r="9" spans="1:30">
      <c r="A9" s="15" t="str">
        <f>IF('Deltager info'!A7="","",'Deltager info'!A7)</f>
        <v/>
      </c>
      <c r="B9" s="15" t="str">
        <f>IF('Deltager info'!B7="","",'Deltager info'!B7)</f>
        <v/>
      </c>
      <c r="C9" s="85"/>
      <c r="D9" s="126"/>
      <c r="E9" s="126"/>
      <c r="F9" s="126"/>
      <c r="G9" s="15" t="str">
        <f t="shared" si="0"/>
        <v/>
      </c>
      <c r="H9" s="126"/>
      <c r="I9" s="15" t="str">
        <f t="shared" si="1"/>
        <v/>
      </c>
      <c r="J9" s="85"/>
      <c r="K9" s="126"/>
      <c r="L9" s="126"/>
      <c r="M9" s="126"/>
      <c r="N9" s="126"/>
      <c r="O9" s="126"/>
      <c r="P9" s="126"/>
      <c r="Q9" s="126"/>
      <c r="R9" s="127"/>
      <c r="S9" s="19" t="str">
        <f>IF(OR(ISBLANK(R9),'Deltager info'!$J7=""),"",IF(R9&lt;INDEX('B tider'!$C$11:$J$11,1,MATCH(VALUE(LEFT('Deltager info'!$J7,FIND(" ",'Deltager info'!$J7&amp;" ")-1)),'B tider'!$C$10:$J$10,0)),ROUNDUP(ROUND((INDEX('B tider'!$C$11:$J$11,1,MATCH(VALUE(LEFT('Deltager info'!$J7,FIND(" ",'Deltager info'!$J7&amp;" ")-1)),'B tider'!$C$10:$J$10,0))-R9)*86400,6),0)*0.2,IF(R9&gt;INDEX('B tider'!$C$13:$J$13,1,MATCH(VALUE(LEFT('Deltager info'!$J7,FIND(" ",'Deltager info'!$J7&amp;" ")-1)),'B tider'!$C$10:$J$10,0)),ROUNDUP(ROUND((R9-INDEX('B tider'!$C$13:$J$13,1,MATCH(VALUE(LEFT('Deltager info'!$J7,FIND(" ",'Deltager info'!$J7&amp;" ")-1)),'B tider'!$C$10:$J$10,0)))*86400,6),0)*0.2,0)))</f>
        <v/>
      </c>
      <c r="T9" s="15" t="str">
        <f t="shared" si="2"/>
        <v/>
      </c>
      <c r="U9" s="85"/>
      <c r="V9" s="126"/>
      <c r="W9" s="126"/>
      <c r="X9" s="129"/>
      <c r="Y9" s="36" t="str">
        <f>IF(ISBLANK(X9),"",IF(LEFT('Deltager info'!$N7,3)="150",MAX(0,ROUNDUP(ROUND(X9*86400-('C tider'!$C$6/150*60),6),0)*0.2),IF(LEFT('Deltager info'!$N7,3)="180",MAX(0,ROUNDUP(ROUND(X9*86400-('C tider'!$C$6/180*60),6),0)*0.2),IF(LEFT('Deltager info'!$N7,3)="200",MAX(0,ROUNDUP(ROUND(X9*86400-('C tider'!$C$6/200*60),6),0)*0.2),""))))</f>
        <v/>
      </c>
      <c r="Z9" s="15" t="str">
        <f t="shared" si="3"/>
        <v/>
      </c>
      <c r="AA9" s="85"/>
      <c r="AB9" s="15" t="str">
        <f t="shared" si="4"/>
        <v/>
      </c>
      <c r="AC9" s="20" t="str">
        <f t="shared" si="5"/>
        <v/>
      </c>
      <c r="AD9" s="15" t="str">
        <f t="shared" si="6"/>
        <v/>
      </c>
    </row>
    <row r="10" spans="1:30">
      <c r="A10" s="15" t="str">
        <f>IF('Deltager info'!A8="","",'Deltager info'!A8)</f>
        <v/>
      </c>
      <c r="B10" s="15" t="str">
        <f>IF('Deltager info'!B8="","",'Deltager info'!B8)</f>
        <v/>
      </c>
      <c r="C10" s="85"/>
      <c r="D10" s="126"/>
      <c r="E10" s="126"/>
      <c r="F10" s="126"/>
      <c r="G10" s="15" t="str">
        <f t="shared" si="0"/>
        <v/>
      </c>
      <c r="H10" s="126"/>
      <c r="I10" s="15" t="str">
        <f t="shared" si="1"/>
        <v/>
      </c>
      <c r="J10" s="85"/>
      <c r="K10" s="126"/>
      <c r="L10" s="126"/>
      <c r="M10" s="126"/>
      <c r="N10" s="126"/>
      <c r="O10" s="126"/>
      <c r="P10" s="126"/>
      <c r="Q10" s="126"/>
      <c r="R10" s="127"/>
      <c r="S10" s="19" t="str">
        <f>IF(OR(ISBLANK(R10),'Deltager info'!$J8=""),"",IF(R10&lt;INDEX('B tider'!$C$11:$J$11,1,MATCH(VALUE(LEFT('Deltager info'!$J8,FIND(" ",'Deltager info'!$J8&amp;" ")-1)),'B tider'!$C$10:$J$10,0)),ROUNDUP(ROUND((INDEX('B tider'!$C$11:$J$11,1,MATCH(VALUE(LEFT('Deltager info'!$J8,FIND(" ",'Deltager info'!$J8&amp;" ")-1)),'B tider'!$C$10:$J$10,0))-R10)*86400,6),0)*0.2,IF(R10&gt;INDEX('B tider'!$C$13:$J$13,1,MATCH(VALUE(LEFT('Deltager info'!$J8,FIND(" ",'Deltager info'!$J8&amp;" ")-1)),'B tider'!$C$10:$J$10,0)),ROUNDUP(ROUND((R10-INDEX('B tider'!$C$13:$J$13,1,MATCH(VALUE(LEFT('Deltager info'!$J8,FIND(" ",'Deltager info'!$J8&amp;" ")-1)),'B tider'!$C$10:$J$10,0)))*86400,6),0)*0.2,0)))</f>
        <v/>
      </c>
      <c r="T10" s="15" t="str">
        <f t="shared" si="2"/>
        <v/>
      </c>
      <c r="U10" s="85"/>
      <c r="V10" s="126"/>
      <c r="W10" s="126"/>
      <c r="X10" s="129"/>
      <c r="Y10" s="36" t="str">
        <f>IF(ISBLANK(X10),"",IF(LEFT('Deltager info'!$N8,3)="150",MAX(0,ROUNDUP(ROUND(X10*86400-('C tider'!$C$6/150*60),6),0)*0.2),IF(LEFT('Deltager info'!$N8,3)="180",MAX(0,ROUNDUP(ROUND(X10*86400-('C tider'!$C$6/180*60),6),0)*0.2),IF(LEFT('Deltager info'!$N8,3)="200",MAX(0,ROUNDUP(ROUND(X10*86400-('C tider'!$C$6/200*60),6),0)*0.2),""))))</f>
        <v/>
      </c>
      <c r="Z10" s="15" t="str">
        <f t="shared" si="3"/>
        <v/>
      </c>
      <c r="AA10" s="85"/>
      <c r="AB10" s="15" t="str">
        <f t="shared" si="4"/>
        <v/>
      </c>
      <c r="AC10" s="20" t="str">
        <f t="shared" si="5"/>
        <v/>
      </c>
      <c r="AD10" s="15" t="str">
        <f t="shared" si="6"/>
        <v/>
      </c>
    </row>
    <row r="11" spans="1:30">
      <c r="A11" s="15" t="str">
        <f>IF('Deltager info'!A9="","",'Deltager info'!A9)</f>
        <v/>
      </c>
      <c r="B11" s="15" t="str">
        <f>IF('Deltager info'!B9="","",'Deltager info'!B9)</f>
        <v/>
      </c>
      <c r="C11" s="85"/>
      <c r="D11" s="126"/>
      <c r="E11" s="126"/>
      <c r="F11" s="126"/>
      <c r="G11" s="15" t="str">
        <f t="shared" si="0"/>
        <v/>
      </c>
      <c r="H11" s="126"/>
      <c r="I11" s="15" t="str">
        <f t="shared" si="1"/>
        <v/>
      </c>
      <c r="J11" s="85"/>
      <c r="K11" s="126"/>
      <c r="L11" s="126"/>
      <c r="M11" s="126"/>
      <c r="N11" s="126"/>
      <c r="O11" s="126"/>
      <c r="P11" s="126"/>
      <c r="Q11" s="126"/>
      <c r="R11" s="127"/>
      <c r="S11" s="19" t="str">
        <f>IF(OR(ISBLANK(R11),'Deltager info'!$J9=""),"",IF(R11&lt;INDEX('B tider'!$C$11:$J$11,1,MATCH(VALUE(LEFT('Deltager info'!$J9,FIND(" ",'Deltager info'!$J9&amp;" ")-1)),'B tider'!$C$10:$J$10,0)),ROUNDUP(ROUND((INDEX('B tider'!$C$11:$J$11,1,MATCH(VALUE(LEFT('Deltager info'!$J9,FIND(" ",'Deltager info'!$J9&amp;" ")-1)),'B tider'!$C$10:$J$10,0))-R11)*86400,6),0)*0.2,IF(R11&gt;INDEX('B tider'!$C$13:$J$13,1,MATCH(VALUE(LEFT('Deltager info'!$J9,FIND(" ",'Deltager info'!$J9&amp;" ")-1)),'B tider'!$C$10:$J$10,0)),ROUNDUP(ROUND((R11-INDEX('B tider'!$C$13:$J$13,1,MATCH(VALUE(LEFT('Deltager info'!$J9,FIND(" ",'Deltager info'!$J9&amp;" ")-1)),'B tider'!$C$10:$J$10,0)))*86400,6),0)*0.2,0)))</f>
        <v/>
      </c>
      <c r="T11" s="15" t="str">
        <f t="shared" si="2"/>
        <v/>
      </c>
      <c r="U11" s="85"/>
      <c r="V11" s="126"/>
      <c r="W11" s="126"/>
      <c r="X11" s="129"/>
      <c r="Y11" s="36" t="str">
        <f>IF(ISBLANK(X11),"",IF(LEFT('Deltager info'!$N9,3)="150",MAX(0,ROUNDUP(ROUND(X11*86400-('C tider'!$C$6/150*60),6),0)*0.2),IF(LEFT('Deltager info'!$N9,3)="180",MAX(0,ROUNDUP(ROUND(X11*86400-('C tider'!$C$6/180*60),6),0)*0.2),IF(LEFT('Deltager info'!$N9,3)="200",MAX(0,ROUNDUP(ROUND(X11*86400-('C tider'!$C$6/200*60),6),0)*0.2),""))))</f>
        <v/>
      </c>
      <c r="Z11" s="15" t="str">
        <f t="shared" si="3"/>
        <v/>
      </c>
      <c r="AA11" s="85"/>
      <c r="AB11" s="15" t="str">
        <f t="shared" si="4"/>
        <v/>
      </c>
      <c r="AC11" s="20" t="str">
        <f t="shared" si="5"/>
        <v/>
      </c>
      <c r="AD11" s="15" t="str">
        <f t="shared" si="6"/>
        <v/>
      </c>
    </row>
    <row r="12" spans="1:30">
      <c r="A12" s="15" t="str">
        <f>IF('Deltager info'!A10="","",'Deltager info'!A10)</f>
        <v/>
      </c>
      <c r="B12" s="15" t="str">
        <f>IF('Deltager info'!B10="","",'Deltager info'!B10)</f>
        <v/>
      </c>
      <c r="C12" s="85"/>
      <c r="D12" s="126"/>
      <c r="E12" s="126"/>
      <c r="F12" s="126"/>
      <c r="G12" s="15" t="str">
        <f t="shared" si="0"/>
        <v/>
      </c>
      <c r="H12" s="126"/>
      <c r="I12" s="15" t="str">
        <f t="shared" si="1"/>
        <v/>
      </c>
      <c r="J12" s="85"/>
      <c r="K12" s="126"/>
      <c r="L12" s="126"/>
      <c r="M12" s="126"/>
      <c r="N12" s="126"/>
      <c r="O12" s="126"/>
      <c r="P12" s="126"/>
      <c r="Q12" s="126"/>
      <c r="R12" s="127"/>
      <c r="S12" s="19" t="str">
        <f>IF(OR(ISBLANK(R12),'Deltager info'!$J10=""),"",IF(R12&lt;INDEX('B tider'!$C$11:$J$11,1,MATCH(VALUE(LEFT('Deltager info'!$J10,FIND(" ",'Deltager info'!$J10&amp;" ")-1)),'B tider'!$C$10:$J$10,0)),ROUNDUP(ROUND((INDEX('B tider'!$C$11:$J$11,1,MATCH(VALUE(LEFT('Deltager info'!$J10,FIND(" ",'Deltager info'!$J10&amp;" ")-1)),'B tider'!$C$10:$J$10,0))-R12)*86400,6),0)*0.2,IF(R12&gt;INDEX('B tider'!$C$13:$J$13,1,MATCH(VALUE(LEFT('Deltager info'!$J10,FIND(" ",'Deltager info'!$J10&amp;" ")-1)),'B tider'!$C$10:$J$10,0)),ROUNDUP(ROUND((R12-INDEX('B tider'!$C$13:$J$13,1,MATCH(VALUE(LEFT('Deltager info'!$J10,FIND(" ",'Deltager info'!$J10&amp;" ")-1)),'B tider'!$C$10:$J$10,0)))*86400,6),0)*0.2,0)))</f>
        <v/>
      </c>
      <c r="T12" s="15" t="str">
        <f t="shared" si="2"/>
        <v/>
      </c>
      <c r="U12" s="85"/>
      <c r="V12" s="126"/>
      <c r="W12" s="126"/>
      <c r="X12" s="129"/>
      <c r="Y12" s="36" t="str">
        <f>IF(ISBLANK(X12),"",IF(LEFT('Deltager info'!$N10,3)="150",MAX(0,ROUNDUP(ROUND(X12*86400-('C tider'!$C$6/150*60),6),0)*0.2),IF(LEFT('Deltager info'!$N10,3)="180",MAX(0,ROUNDUP(ROUND(X12*86400-('C tider'!$C$6/180*60),6),0)*0.2),IF(LEFT('Deltager info'!$N10,3)="200",MAX(0,ROUNDUP(ROUND(X12*86400-('C tider'!$C$6/200*60),6),0)*0.2),""))))</f>
        <v/>
      </c>
      <c r="Z12" s="15" t="str">
        <f t="shared" si="3"/>
        <v/>
      </c>
      <c r="AA12" s="85"/>
      <c r="AB12" s="15" t="str">
        <f t="shared" si="4"/>
        <v/>
      </c>
      <c r="AC12" s="20" t="str">
        <f t="shared" si="5"/>
        <v/>
      </c>
      <c r="AD12" s="15" t="str">
        <f t="shared" si="6"/>
        <v/>
      </c>
    </row>
    <row r="13" spans="1:30">
      <c r="A13" s="15" t="str">
        <f>IF('Deltager info'!A11="","",'Deltager info'!A11)</f>
        <v/>
      </c>
      <c r="B13" s="15" t="str">
        <f>IF('Deltager info'!B11="","",'Deltager info'!B11)</f>
        <v/>
      </c>
      <c r="C13" s="85"/>
      <c r="D13" s="126"/>
      <c r="E13" s="126"/>
      <c r="F13" s="126"/>
      <c r="G13" s="15" t="str">
        <f t="shared" si="0"/>
        <v/>
      </c>
      <c r="H13" s="126"/>
      <c r="I13" s="15" t="str">
        <f t="shared" si="1"/>
        <v/>
      </c>
      <c r="J13" s="85"/>
      <c r="K13" s="126"/>
      <c r="L13" s="126"/>
      <c r="M13" s="126"/>
      <c r="N13" s="126"/>
      <c r="O13" s="126"/>
      <c r="P13" s="126"/>
      <c r="Q13" s="126"/>
      <c r="R13" s="127"/>
      <c r="S13" s="19" t="str">
        <f>IF(OR(ISBLANK(R13),'Deltager info'!$J11=""),"",IF(R13&lt;INDEX('B tider'!$C$11:$J$11,1,MATCH(VALUE(LEFT('Deltager info'!$J11,FIND(" ",'Deltager info'!$J11&amp;" ")-1)),'B tider'!$C$10:$J$10,0)),ROUNDUP(ROUND((INDEX('B tider'!$C$11:$J$11,1,MATCH(VALUE(LEFT('Deltager info'!$J11,FIND(" ",'Deltager info'!$J11&amp;" ")-1)),'B tider'!$C$10:$J$10,0))-R13)*86400,6),0)*0.2,IF(R13&gt;INDEX('B tider'!$C$13:$J$13,1,MATCH(VALUE(LEFT('Deltager info'!$J11,FIND(" ",'Deltager info'!$J11&amp;" ")-1)),'B tider'!$C$10:$J$10,0)),ROUNDUP(ROUND((R13-INDEX('B tider'!$C$13:$J$13,1,MATCH(VALUE(LEFT('Deltager info'!$J11,FIND(" ",'Deltager info'!$J11&amp;" ")-1)),'B tider'!$C$10:$J$10,0)))*86400,6),0)*0.2,0)))</f>
        <v/>
      </c>
      <c r="T13" s="15" t="str">
        <f t="shared" si="2"/>
        <v/>
      </c>
      <c r="U13" s="85"/>
      <c r="V13" s="126"/>
      <c r="W13" s="126"/>
      <c r="X13" s="129"/>
      <c r="Y13" s="36" t="str">
        <f>IF(ISBLANK(X13),"",IF(LEFT('Deltager info'!$N11,3)="150",MAX(0,ROUNDUP(ROUND(X13*86400-('C tider'!$C$6/150*60),6),0)*0.2),IF(LEFT('Deltager info'!$N11,3)="180",MAX(0,ROUNDUP(ROUND(X13*86400-('C tider'!$C$6/180*60),6),0)*0.2),IF(LEFT('Deltager info'!$N11,3)="200",MAX(0,ROUNDUP(ROUND(X13*86400-('C tider'!$C$6/200*60),6),0)*0.2),""))))</f>
        <v/>
      </c>
      <c r="Z13" s="15" t="str">
        <f t="shared" si="3"/>
        <v/>
      </c>
      <c r="AA13" s="85"/>
      <c r="AB13" s="15" t="str">
        <f t="shared" si="4"/>
        <v/>
      </c>
      <c r="AC13" s="20" t="str">
        <f t="shared" si="5"/>
        <v/>
      </c>
      <c r="AD13" s="15" t="str">
        <f t="shared" si="6"/>
        <v/>
      </c>
    </row>
    <row r="14" spans="1:30">
      <c r="A14" s="15" t="str">
        <f>IF('Deltager info'!A12="","",'Deltager info'!A12)</f>
        <v/>
      </c>
      <c r="B14" s="15" t="str">
        <f>IF('Deltager info'!B12="","",'Deltager info'!B12)</f>
        <v/>
      </c>
      <c r="C14" s="85"/>
      <c r="D14" s="126"/>
      <c r="E14" s="126"/>
      <c r="F14" s="126"/>
      <c r="G14" s="15" t="str">
        <f t="shared" si="0"/>
        <v/>
      </c>
      <c r="H14" s="126"/>
      <c r="I14" s="15" t="str">
        <f t="shared" si="1"/>
        <v/>
      </c>
      <c r="J14" s="85"/>
      <c r="K14" s="126"/>
      <c r="L14" s="126"/>
      <c r="M14" s="126"/>
      <c r="N14" s="126"/>
      <c r="O14" s="126"/>
      <c r="P14" s="126"/>
      <c r="Q14" s="126"/>
      <c r="R14" s="127"/>
      <c r="S14" s="19" t="str">
        <f>IF(OR(ISBLANK(R14),'Deltager info'!$J12=""),"",IF(R14&lt;INDEX('B tider'!$C$11:$J$11,1,MATCH(VALUE(LEFT('Deltager info'!$J12,FIND(" ",'Deltager info'!$J12&amp;" ")-1)),'B tider'!$C$10:$J$10,0)),ROUNDUP(ROUND((INDEX('B tider'!$C$11:$J$11,1,MATCH(VALUE(LEFT('Deltager info'!$J12,FIND(" ",'Deltager info'!$J12&amp;" ")-1)),'B tider'!$C$10:$J$10,0))-R14)*86400,6),0)*0.2,IF(R14&gt;INDEX('B tider'!$C$13:$J$13,1,MATCH(VALUE(LEFT('Deltager info'!$J12,FIND(" ",'Deltager info'!$J12&amp;" ")-1)),'B tider'!$C$10:$J$10,0)),ROUNDUP(ROUND((R14-INDEX('B tider'!$C$13:$J$13,1,MATCH(VALUE(LEFT('Deltager info'!$J12,FIND(" ",'Deltager info'!$J12&amp;" ")-1)),'B tider'!$C$10:$J$10,0)))*86400,6),0)*0.2,0)))</f>
        <v/>
      </c>
      <c r="T14" s="15" t="str">
        <f t="shared" si="2"/>
        <v/>
      </c>
      <c r="U14" s="85"/>
      <c r="V14" s="126"/>
      <c r="W14" s="126"/>
      <c r="X14" s="129"/>
      <c r="Y14" s="36" t="str">
        <f>IF(ISBLANK(X14),"",IF(LEFT('Deltager info'!$N12,3)="150",MAX(0,ROUNDUP(ROUND(X14*86400-('C tider'!$C$6/150*60),6),0)*0.2),IF(LEFT('Deltager info'!$N12,3)="180",MAX(0,ROUNDUP(ROUND(X14*86400-('C tider'!$C$6/180*60),6),0)*0.2),IF(LEFT('Deltager info'!$N12,3)="200",MAX(0,ROUNDUP(ROUND(X14*86400-('C tider'!$C$6/200*60),6),0)*0.2),""))))</f>
        <v/>
      </c>
      <c r="Z14" s="15" t="str">
        <f t="shared" si="3"/>
        <v/>
      </c>
      <c r="AA14" s="85"/>
      <c r="AB14" s="15" t="str">
        <f t="shared" si="4"/>
        <v/>
      </c>
      <c r="AC14" s="20" t="str">
        <f t="shared" si="5"/>
        <v/>
      </c>
      <c r="AD14" s="15" t="str">
        <f t="shared" si="6"/>
        <v/>
      </c>
    </row>
    <row r="15" spans="1:30">
      <c r="A15" s="15" t="str">
        <f>IF('Deltager info'!A13="","",'Deltager info'!A13)</f>
        <v/>
      </c>
      <c r="B15" s="15" t="str">
        <f>IF('Deltager info'!B13="","",'Deltager info'!B13)</f>
        <v/>
      </c>
      <c r="C15" s="85"/>
      <c r="D15" s="126"/>
      <c r="E15" s="126"/>
      <c r="F15" s="126"/>
      <c r="G15" s="15" t="str">
        <f t="shared" si="0"/>
        <v/>
      </c>
      <c r="H15" s="126"/>
      <c r="I15" s="15" t="str">
        <f t="shared" si="1"/>
        <v/>
      </c>
      <c r="J15" s="85"/>
      <c r="K15" s="126"/>
      <c r="L15" s="126"/>
      <c r="M15" s="126"/>
      <c r="N15" s="126"/>
      <c r="O15" s="126"/>
      <c r="P15" s="126"/>
      <c r="Q15" s="126"/>
      <c r="R15" s="127"/>
      <c r="S15" s="19" t="str">
        <f>IF(OR(ISBLANK(R15),'Deltager info'!$J13=""),"",IF(R15&lt;INDEX('B tider'!$C$11:$J$11,1,MATCH(VALUE(LEFT('Deltager info'!$J13,FIND(" ",'Deltager info'!$J13&amp;" ")-1)),'B tider'!$C$10:$J$10,0)),ROUNDUP(ROUND((INDEX('B tider'!$C$11:$J$11,1,MATCH(VALUE(LEFT('Deltager info'!$J13,FIND(" ",'Deltager info'!$J13&amp;" ")-1)),'B tider'!$C$10:$J$10,0))-R15)*86400,6),0)*0.2,IF(R15&gt;INDEX('B tider'!$C$13:$J$13,1,MATCH(VALUE(LEFT('Deltager info'!$J13,FIND(" ",'Deltager info'!$J13&amp;" ")-1)),'B tider'!$C$10:$J$10,0)),ROUNDUP(ROUND((R15-INDEX('B tider'!$C$13:$J$13,1,MATCH(VALUE(LEFT('Deltager info'!$J13,FIND(" ",'Deltager info'!$J13&amp;" ")-1)),'B tider'!$C$10:$J$10,0)))*86400,6),0)*0.2,0)))</f>
        <v/>
      </c>
      <c r="T15" s="15" t="str">
        <f t="shared" si="2"/>
        <v/>
      </c>
      <c r="U15" s="85"/>
      <c r="V15" s="126"/>
      <c r="W15" s="126"/>
      <c r="X15" s="129"/>
      <c r="Y15" s="36" t="str">
        <f>IF(ISBLANK(X15),"",IF(LEFT('Deltager info'!$N13,3)="150",MAX(0,ROUNDUP(ROUND(X15*86400-('C tider'!$C$6/150*60),6),0)*0.2),IF(LEFT('Deltager info'!$N13,3)="180",MAX(0,ROUNDUP(ROUND(X15*86400-('C tider'!$C$6/180*60),6),0)*0.2),IF(LEFT('Deltager info'!$N13,3)="200",MAX(0,ROUNDUP(ROUND(X15*86400-('C tider'!$C$6/200*60),6),0)*0.2),""))))</f>
        <v/>
      </c>
      <c r="Z15" s="15" t="str">
        <f t="shared" si="3"/>
        <v/>
      </c>
      <c r="AA15" s="85"/>
      <c r="AB15" s="15" t="str">
        <f t="shared" si="4"/>
        <v/>
      </c>
      <c r="AC15" s="20" t="str">
        <f t="shared" si="5"/>
        <v/>
      </c>
      <c r="AD15" s="15" t="str">
        <f t="shared" si="6"/>
        <v/>
      </c>
    </row>
    <row r="16" spans="1:30">
      <c r="A16" s="15" t="str">
        <f>IF('Deltager info'!A14="","",'Deltager info'!A14)</f>
        <v/>
      </c>
      <c r="B16" s="15" t="str">
        <f>IF('Deltager info'!B14="","",'Deltager info'!B14)</f>
        <v/>
      </c>
      <c r="C16" s="85"/>
      <c r="D16" s="126"/>
      <c r="E16" s="126"/>
      <c r="F16" s="126"/>
      <c r="G16" s="15" t="str">
        <f t="shared" si="0"/>
        <v/>
      </c>
      <c r="H16" s="126"/>
      <c r="I16" s="15" t="str">
        <f t="shared" si="1"/>
        <v/>
      </c>
      <c r="J16" s="85"/>
      <c r="K16" s="126"/>
      <c r="L16" s="126"/>
      <c r="M16" s="126"/>
      <c r="N16" s="126"/>
      <c r="O16" s="126"/>
      <c r="P16" s="126"/>
      <c r="Q16" s="126"/>
      <c r="R16" s="127"/>
      <c r="S16" s="19" t="str">
        <f>IF(OR(ISBLANK(R16),'Deltager info'!$J14=""),"",IF(R16&lt;INDEX('B tider'!$C$11:$J$11,1,MATCH(VALUE(LEFT('Deltager info'!$J14,FIND(" ",'Deltager info'!$J14&amp;" ")-1)),'B tider'!$C$10:$J$10,0)),ROUNDUP(ROUND((INDEX('B tider'!$C$11:$J$11,1,MATCH(VALUE(LEFT('Deltager info'!$J14,FIND(" ",'Deltager info'!$J14&amp;" ")-1)),'B tider'!$C$10:$J$10,0))-R16)*86400,6),0)*0.2,IF(R16&gt;INDEX('B tider'!$C$13:$J$13,1,MATCH(VALUE(LEFT('Deltager info'!$J14,FIND(" ",'Deltager info'!$J14&amp;" ")-1)),'B tider'!$C$10:$J$10,0)),ROUNDUP(ROUND((R16-INDEX('B tider'!$C$13:$J$13,1,MATCH(VALUE(LEFT('Deltager info'!$J14,FIND(" ",'Deltager info'!$J14&amp;" ")-1)),'B tider'!$C$10:$J$10,0)))*86400,6),0)*0.2,0)))</f>
        <v/>
      </c>
      <c r="T16" s="15" t="str">
        <f t="shared" si="2"/>
        <v/>
      </c>
      <c r="U16" s="85"/>
      <c r="V16" s="126"/>
      <c r="W16" s="126"/>
      <c r="X16" s="129"/>
      <c r="Y16" s="36" t="str">
        <f>IF(ISBLANK(X16),"",IF(LEFT('Deltager info'!$N14,3)="150",MAX(0,ROUNDUP(ROUND(X16*86400-('C tider'!$C$6/150*60),6),0)*0.2),IF(LEFT('Deltager info'!$N14,3)="180",MAX(0,ROUNDUP(ROUND(X16*86400-('C tider'!$C$6/180*60),6),0)*0.2),IF(LEFT('Deltager info'!$N14,3)="200",MAX(0,ROUNDUP(ROUND(X16*86400-('C tider'!$C$6/200*60),6),0)*0.2),""))))</f>
        <v/>
      </c>
      <c r="Z16" s="15" t="str">
        <f t="shared" si="3"/>
        <v/>
      </c>
      <c r="AA16" s="85"/>
      <c r="AB16" s="15" t="str">
        <f t="shared" si="4"/>
        <v/>
      </c>
      <c r="AC16" s="20" t="str">
        <f t="shared" si="5"/>
        <v/>
      </c>
      <c r="AD16" s="15" t="str">
        <f t="shared" si="6"/>
        <v/>
      </c>
    </row>
    <row r="17" spans="1:30">
      <c r="A17" s="15" t="str">
        <f>IF('Deltager info'!A15="","",'Deltager info'!A15)</f>
        <v/>
      </c>
      <c r="B17" s="15" t="str">
        <f>IF('Deltager info'!B15="","",'Deltager info'!B15)</f>
        <v/>
      </c>
      <c r="C17" s="85"/>
      <c r="D17" s="126"/>
      <c r="E17" s="126"/>
      <c r="F17" s="126"/>
      <c r="G17" s="15" t="str">
        <f t="shared" si="0"/>
        <v/>
      </c>
      <c r="H17" s="126"/>
      <c r="I17" s="15" t="str">
        <f t="shared" si="1"/>
        <v/>
      </c>
      <c r="J17" s="85"/>
      <c r="K17" s="126"/>
      <c r="L17" s="126"/>
      <c r="M17" s="126"/>
      <c r="N17" s="126"/>
      <c r="O17" s="126"/>
      <c r="P17" s="126"/>
      <c r="Q17" s="126"/>
      <c r="R17" s="127"/>
      <c r="S17" s="19" t="str">
        <f>IF(OR(ISBLANK(R17),'Deltager info'!$J15=""),"",IF(R17&lt;INDEX('B tider'!$C$11:$J$11,1,MATCH(VALUE(LEFT('Deltager info'!$J15,FIND(" ",'Deltager info'!$J15&amp;" ")-1)),'B tider'!$C$10:$J$10,0)),ROUNDUP(ROUND((INDEX('B tider'!$C$11:$J$11,1,MATCH(VALUE(LEFT('Deltager info'!$J15,FIND(" ",'Deltager info'!$J15&amp;" ")-1)),'B tider'!$C$10:$J$10,0))-R17)*86400,6),0)*0.2,IF(R17&gt;INDEX('B tider'!$C$13:$J$13,1,MATCH(VALUE(LEFT('Deltager info'!$J15,FIND(" ",'Deltager info'!$J15&amp;" ")-1)),'B tider'!$C$10:$J$10,0)),ROUNDUP(ROUND((R17-INDEX('B tider'!$C$13:$J$13,1,MATCH(VALUE(LEFT('Deltager info'!$J15,FIND(" ",'Deltager info'!$J15&amp;" ")-1)),'B tider'!$C$10:$J$10,0)))*86400,6),0)*0.2,0)))</f>
        <v/>
      </c>
      <c r="T17" s="15" t="str">
        <f t="shared" si="2"/>
        <v/>
      </c>
      <c r="U17" s="85"/>
      <c r="V17" s="126"/>
      <c r="W17" s="126"/>
      <c r="X17" s="129"/>
      <c r="Y17" s="36" t="str">
        <f>IF(ISBLANK(X17),"",IF(LEFT('Deltager info'!$N15,3)="150",MAX(0,ROUNDUP(ROUND(X17*86400-('C tider'!$C$6/150*60),6),0)*0.2),IF(LEFT('Deltager info'!$N15,3)="180",MAX(0,ROUNDUP(ROUND(X17*86400-('C tider'!$C$6/180*60),6),0)*0.2),IF(LEFT('Deltager info'!$N15,3)="200",MAX(0,ROUNDUP(ROUND(X17*86400-('C tider'!$C$6/200*60),6),0)*0.2),""))))</f>
        <v/>
      </c>
      <c r="Z17" s="15" t="str">
        <f t="shared" si="3"/>
        <v/>
      </c>
      <c r="AA17" s="85"/>
      <c r="AB17" s="15" t="str">
        <f t="shared" si="4"/>
        <v/>
      </c>
      <c r="AC17" s="20" t="str">
        <f t="shared" si="5"/>
        <v/>
      </c>
      <c r="AD17" s="15" t="str">
        <f t="shared" si="6"/>
        <v/>
      </c>
    </row>
    <row r="18" spans="1:30">
      <c r="A18" s="15" t="str">
        <f>IF('Deltager info'!A16="","",'Deltager info'!A16)</f>
        <v/>
      </c>
      <c r="B18" s="15" t="str">
        <f>IF('Deltager info'!B16="","",'Deltager info'!B16)</f>
        <v/>
      </c>
      <c r="C18" s="85"/>
      <c r="D18" s="126"/>
      <c r="E18" s="126"/>
      <c r="F18" s="126"/>
      <c r="G18" s="15" t="str">
        <f t="shared" si="0"/>
        <v/>
      </c>
      <c r="H18" s="126"/>
      <c r="I18" s="15" t="str">
        <f t="shared" si="1"/>
        <v/>
      </c>
      <c r="J18" s="85"/>
      <c r="K18" s="126"/>
      <c r="L18" s="126"/>
      <c r="M18" s="126"/>
      <c r="N18" s="126"/>
      <c r="O18" s="126"/>
      <c r="P18" s="126"/>
      <c r="Q18" s="126"/>
      <c r="R18" s="127"/>
      <c r="S18" s="19" t="str">
        <f>IF(OR(ISBLANK(R18),'Deltager info'!$J16=""),"",IF(R18&lt;INDEX('B tider'!$C$11:$J$11,1,MATCH(VALUE(LEFT('Deltager info'!$J16,FIND(" ",'Deltager info'!$J16&amp;" ")-1)),'B tider'!$C$10:$J$10,0)),ROUNDUP(ROUND((INDEX('B tider'!$C$11:$J$11,1,MATCH(VALUE(LEFT('Deltager info'!$J16,FIND(" ",'Deltager info'!$J16&amp;" ")-1)),'B tider'!$C$10:$J$10,0))-R18)*86400,6),0)*0.2,IF(R18&gt;INDEX('B tider'!$C$13:$J$13,1,MATCH(VALUE(LEFT('Deltager info'!$J16,FIND(" ",'Deltager info'!$J16&amp;" ")-1)),'B tider'!$C$10:$J$10,0)),ROUNDUP(ROUND((R18-INDEX('B tider'!$C$13:$J$13,1,MATCH(VALUE(LEFT('Deltager info'!$J16,FIND(" ",'Deltager info'!$J16&amp;" ")-1)),'B tider'!$C$10:$J$10,0)))*86400,6),0)*0.2,0)))</f>
        <v/>
      </c>
      <c r="T18" s="15" t="str">
        <f t="shared" si="2"/>
        <v/>
      </c>
      <c r="U18" s="85"/>
      <c r="V18" s="126"/>
      <c r="W18" s="126"/>
      <c r="X18" s="129"/>
      <c r="Y18" s="36" t="str">
        <f>IF(ISBLANK(X18),"",IF(LEFT('Deltager info'!$N16,3)="150",MAX(0,ROUNDUP(ROUND(X18*86400-('C tider'!$C$6/150*60),6),0)*0.2),IF(LEFT('Deltager info'!$N16,3)="180",MAX(0,ROUNDUP(ROUND(X18*86400-('C tider'!$C$6/180*60),6),0)*0.2),IF(LEFT('Deltager info'!$N16,3)="200",MAX(0,ROUNDUP(ROUND(X18*86400-('C tider'!$C$6/200*60),6),0)*0.2),""))))</f>
        <v/>
      </c>
      <c r="Z18" s="15" t="str">
        <f t="shared" si="3"/>
        <v/>
      </c>
      <c r="AA18" s="85"/>
      <c r="AB18" s="15" t="str">
        <f t="shared" si="4"/>
        <v/>
      </c>
      <c r="AC18" s="20" t="str">
        <f t="shared" si="5"/>
        <v/>
      </c>
      <c r="AD18" s="15" t="str">
        <f t="shared" si="6"/>
        <v/>
      </c>
    </row>
    <row r="19" spans="1:30">
      <c r="A19" s="15" t="str">
        <f>IF('Deltager info'!A17="","",'Deltager info'!A17)</f>
        <v/>
      </c>
      <c r="B19" s="15" t="str">
        <f>IF('Deltager info'!B17="","",'Deltager info'!B17)</f>
        <v/>
      </c>
      <c r="C19" s="85"/>
      <c r="D19" s="126"/>
      <c r="E19" s="126"/>
      <c r="F19" s="126"/>
      <c r="G19" s="15" t="str">
        <f t="shared" si="0"/>
        <v/>
      </c>
      <c r="H19" s="126"/>
      <c r="I19" s="15" t="str">
        <f t="shared" si="1"/>
        <v/>
      </c>
      <c r="J19" s="85"/>
      <c r="K19" s="126"/>
      <c r="L19" s="126"/>
      <c r="M19" s="126"/>
      <c r="N19" s="126"/>
      <c r="O19" s="126"/>
      <c r="P19" s="126"/>
      <c r="Q19" s="126"/>
      <c r="R19" s="127"/>
      <c r="S19" s="19" t="str">
        <f>IF(OR(ISBLANK(R19),'Deltager info'!$J17=""),"",IF(R19&lt;INDEX('B tider'!$C$11:$J$11,1,MATCH(VALUE(LEFT('Deltager info'!$J17,FIND(" ",'Deltager info'!$J17&amp;" ")-1)),'B tider'!$C$10:$J$10,0)),ROUNDUP(ROUND((INDEX('B tider'!$C$11:$J$11,1,MATCH(VALUE(LEFT('Deltager info'!$J17,FIND(" ",'Deltager info'!$J17&amp;" ")-1)),'B tider'!$C$10:$J$10,0))-R19)*86400,6),0)*0.2,IF(R19&gt;INDEX('B tider'!$C$13:$J$13,1,MATCH(VALUE(LEFT('Deltager info'!$J17,FIND(" ",'Deltager info'!$J17&amp;" ")-1)),'B tider'!$C$10:$J$10,0)),ROUNDUP(ROUND((R19-INDEX('B tider'!$C$13:$J$13,1,MATCH(VALUE(LEFT('Deltager info'!$J17,FIND(" ",'Deltager info'!$J17&amp;" ")-1)),'B tider'!$C$10:$J$10,0)))*86400,6),0)*0.2,0)))</f>
        <v/>
      </c>
      <c r="T19" s="15" t="str">
        <f t="shared" si="2"/>
        <v/>
      </c>
      <c r="U19" s="85"/>
      <c r="V19" s="126"/>
      <c r="W19" s="126"/>
      <c r="X19" s="129"/>
      <c r="Y19" s="36" t="str">
        <f>IF(ISBLANK(X19),"",IF(LEFT('Deltager info'!$N17,3)="150",MAX(0,ROUNDUP(ROUND(X19*86400-('C tider'!$C$6/150*60),6),0)*0.2),IF(LEFT('Deltager info'!$N17,3)="180",MAX(0,ROUNDUP(ROUND(X19*86400-('C tider'!$C$6/180*60),6),0)*0.2),IF(LEFT('Deltager info'!$N17,3)="200",MAX(0,ROUNDUP(ROUND(X19*86400-('C tider'!$C$6/200*60),6),0)*0.2),""))))</f>
        <v/>
      </c>
      <c r="Z19" s="15" t="str">
        <f t="shared" si="3"/>
        <v/>
      </c>
      <c r="AA19" s="85"/>
      <c r="AB19" s="15" t="str">
        <f t="shared" si="4"/>
        <v/>
      </c>
      <c r="AC19" s="20" t="str">
        <f t="shared" si="5"/>
        <v/>
      </c>
      <c r="AD19" s="15" t="str">
        <f t="shared" si="6"/>
        <v/>
      </c>
    </row>
    <row r="20" spans="1:30">
      <c r="A20" s="15" t="str">
        <f>IF('Deltager info'!A18="","",'Deltager info'!A18)</f>
        <v/>
      </c>
      <c r="B20" s="15" t="str">
        <f>IF('Deltager info'!B18="","",'Deltager info'!B18)</f>
        <v/>
      </c>
      <c r="C20" s="85"/>
      <c r="D20" s="126"/>
      <c r="E20" s="126"/>
      <c r="F20" s="126"/>
      <c r="G20" s="15" t="str">
        <f t="shared" si="0"/>
        <v/>
      </c>
      <c r="H20" s="126"/>
      <c r="I20" s="15" t="str">
        <f t="shared" si="1"/>
        <v/>
      </c>
      <c r="J20" s="85"/>
      <c r="K20" s="126"/>
      <c r="L20" s="126"/>
      <c r="M20" s="126"/>
      <c r="N20" s="126"/>
      <c r="O20" s="126"/>
      <c r="P20" s="126"/>
      <c r="Q20" s="126"/>
      <c r="R20" s="127"/>
      <c r="S20" s="19" t="str">
        <f>IF(OR(ISBLANK(R20),'Deltager info'!$J18=""),"",IF(R20&lt;INDEX('B tider'!$C$11:$J$11,1,MATCH(VALUE(LEFT('Deltager info'!$J18,FIND(" ",'Deltager info'!$J18&amp;" ")-1)),'B tider'!$C$10:$J$10,0)),ROUNDUP(ROUND((INDEX('B tider'!$C$11:$J$11,1,MATCH(VALUE(LEFT('Deltager info'!$J18,FIND(" ",'Deltager info'!$J18&amp;" ")-1)),'B tider'!$C$10:$J$10,0))-R20)*86400,6),0)*0.2,IF(R20&gt;INDEX('B tider'!$C$13:$J$13,1,MATCH(VALUE(LEFT('Deltager info'!$J18,FIND(" ",'Deltager info'!$J18&amp;" ")-1)),'B tider'!$C$10:$J$10,0)),ROUNDUP(ROUND((R20-INDEX('B tider'!$C$13:$J$13,1,MATCH(VALUE(LEFT('Deltager info'!$J18,FIND(" ",'Deltager info'!$J18&amp;" ")-1)),'B tider'!$C$10:$J$10,0)))*86400,6),0)*0.2,0)))</f>
        <v/>
      </c>
      <c r="T20" s="15" t="str">
        <f t="shared" si="2"/>
        <v/>
      </c>
      <c r="U20" s="85"/>
      <c r="V20" s="126"/>
      <c r="W20" s="126"/>
      <c r="X20" s="129"/>
      <c r="Y20" s="36" t="str">
        <f>IF(ISBLANK(X20),"",IF(LEFT('Deltager info'!$N18,3)="150",MAX(0,ROUNDUP(ROUND(X20*86400-('C tider'!$C$6/150*60),6),0)*0.2),IF(LEFT('Deltager info'!$N18,3)="180",MAX(0,ROUNDUP(ROUND(X20*86400-('C tider'!$C$6/180*60),6),0)*0.2),IF(LEFT('Deltager info'!$N18,3)="200",MAX(0,ROUNDUP(ROUND(X20*86400-('C tider'!$C$6/200*60),6),0)*0.2),""))))</f>
        <v/>
      </c>
      <c r="Z20" s="15" t="str">
        <f t="shared" si="3"/>
        <v/>
      </c>
      <c r="AA20" s="85"/>
      <c r="AB20" s="15" t="str">
        <f t="shared" si="4"/>
        <v/>
      </c>
      <c r="AC20" s="20" t="str">
        <f t="shared" si="5"/>
        <v/>
      </c>
      <c r="AD20" s="15" t="str">
        <f t="shared" si="6"/>
        <v/>
      </c>
    </row>
    <row r="21" spans="1:30">
      <c r="A21" s="15" t="str">
        <f>IF('Deltager info'!A19="","",'Deltager info'!A19)</f>
        <v/>
      </c>
      <c r="B21" s="15" t="str">
        <f>IF('Deltager info'!B19="","",'Deltager info'!B19)</f>
        <v/>
      </c>
      <c r="C21" s="85"/>
      <c r="D21" s="126"/>
      <c r="E21" s="126"/>
      <c r="F21" s="126"/>
      <c r="G21" s="15" t="str">
        <f t="shared" si="0"/>
        <v/>
      </c>
      <c r="H21" s="126"/>
      <c r="I21" s="15" t="str">
        <f t="shared" si="1"/>
        <v/>
      </c>
      <c r="J21" s="85"/>
      <c r="K21" s="126"/>
      <c r="L21" s="126"/>
      <c r="M21" s="126"/>
      <c r="N21" s="126"/>
      <c r="O21" s="126"/>
      <c r="P21" s="126"/>
      <c r="Q21" s="126"/>
      <c r="R21" s="127"/>
      <c r="S21" s="19" t="str">
        <f>IF(OR(ISBLANK(R21),'Deltager info'!$J19=""),"",IF(R21&lt;INDEX('B tider'!$C$11:$J$11,1,MATCH(VALUE(LEFT('Deltager info'!$J19,FIND(" ",'Deltager info'!$J19&amp;" ")-1)),'B tider'!$C$10:$J$10,0)),ROUNDUP(ROUND((INDEX('B tider'!$C$11:$J$11,1,MATCH(VALUE(LEFT('Deltager info'!$J19,FIND(" ",'Deltager info'!$J19&amp;" ")-1)),'B tider'!$C$10:$J$10,0))-R21)*86400,6),0)*0.2,IF(R21&gt;INDEX('B tider'!$C$13:$J$13,1,MATCH(VALUE(LEFT('Deltager info'!$J19,FIND(" ",'Deltager info'!$J19&amp;" ")-1)),'B tider'!$C$10:$J$10,0)),ROUNDUP(ROUND((R21-INDEX('B tider'!$C$13:$J$13,1,MATCH(VALUE(LEFT('Deltager info'!$J19,FIND(" ",'Deltager info'!$J19&amp;" ")-1)),'B tider'!$C$10:$J$10,0)))*86400,6),0)*0.2,0)))</f>
        <v/>
      </c>
      <c r="T21" s="15" t="str">
        <f t="shared" si="2"/>
        <v/>
      </c>
      <c r="U21" s="85"/>
      <c r="V21" s="126"/>
      <c r="W21" s="126"/>
      <c r="X21" s="129"/>
      <c r="Y21" s="36" t="str">
        <f>IF(ISBLANK(X21),"",IF(LEFT('Deltager info'!$N19,3)="150",MAX(0,ROUNDUP(ROUND(X21*86400-('C tider'!$C$6/150*60),6),0)*0.2),IF(LEFT('Deltager info'!$N19,3)="180",MAX(0,ROUNDUP(ROUND(X21*86400-('C tider'!$C$6/180*60),6),0)*0.2),IF(LEFT('Deltager info'!$N19,3)="200",MAX(0,ROUNDUP(ROUND(X21*86400-('C tider'!$C$6/200*60),6),0)*0.2),""))))</f>
        <v/>
      </c>
      <c r="Z21" s="15" t="str">
        <f t="shared" si="3"/>
        <v/>
      </c>
      <c r="AA21" s="85"/>
      <c r="AB21" s="15" t="str">
        <f t="shared" si="4"/>
        <v/>
      </c>
      <c r="AC21" s="20" t="str">
        <f t="shared" si="5"/>
        <v/>
      </c>
      <c r="AD21" s="15" t="str">
        <f t="shared" si="6"/>
        <v/>
      </c>
    </row>
    <row r="22" spans="1:30">
      <c r="A22" s="15" t="str">
        <f>IF('Deltager info'!A20="","",'Deltager info'!A20)</f>
        <v/>
      </c>
      <c r="B22" s="15" t="str">
        <f>IF('Deltager info'!B20="","",'Deltager info'!B20)</f>
        <v/>
      </c>
      <c r="C22" s="85"/>
      <c r="D22" s="126"/>
      <c r="E22" s="126"/>
      <c r="F22" s="126"/>
      <c r="G22" s="15" t="str">
        <f t="shared" si="0"/>
        <v/>
      </c>
      <c r="H22" s="126"/>
      <c r="I22" s="15" t="str">
        <f t="shared" si="1"/>
        <v/>
      </c>
      <c r="J22" s="85"/>
      <c r="K22" s="126"/>
      <c r="L22" s="126"/>
      <c r="M22" s="126"/>
      <c r="N22" s="126"/>
      <c r="O22" s="126"/>
      <c r="P22" s="126"/>
      <c r="Q22" s="126"/>
      <c r="R22" s="127"/>
      <c r="S22" s="19" t="str">
        <f>IF(OR(ISBLANK(R22),'Deltager info'!$J20=""),"",IF(R22&lt;INDEX('B tider'!$C$11:$J$11,1,MATCH(VALUE(LEFT('Deltager info'!$J20,FIND(" ",'Deltager info'!$J20&amp;" ")-1)),'B tider'!$C$10:$J$10,0)),ROUNDUP(ROUND((INDEX('B tider'!$C$11:$J$11,1,MATCH(VALUE(LEFT('Deltager info'!$J20,FIND(" ",'Deltager info'!$J20&amp;" ")-1)),'B tider'!$C$10:$J$10,0))-R22)*86400,6),0)*0.2,IF(R22&gt;INDEX('B tider'!$C$13:$J$13,1,MATCH(VALUE(LEFT('Deltager info'!$J20,FIND(" ",'Deltager info'!$J20&amp;" ")-1)),'B tider'!$C$10:$J$10,0)),ROUNDUP(ROUND((R22-INDEX('B tider'!$C$13:$J$13,1,MATCH(VALUE(LEFT('Deltager info'!$J20,FIND(" ",'Deltager info'!$J20&amp;" ")-1)),'B tider'!$C$10:$J$10,0)))*86400,6),0)*0.2,0)))</f>
        <v/>
      </c>
      <c r="T22" s="15" t="str">
        <f t="shared" si="2"/>
        <v/>
      </c>
      <c r="U22" s="85"/>
      <c r="V22" s="126"/>
      <c r="W22" s="126"/>
      <c r="X22" s="129"/>
      <c r="Y22" s="36" t="str">
        <f>IF(ISBLANK(X22),"",IF(LEFT('Deltager info'!$N20,3)="150",MAX(0,ROUNDUP(ROUND(X22*86400-('C tider'!$C$6/150*60),6),0)*0.2),IF(LEFT('Deltager info'!$N20,3)="180",MAX(0,ROUNDUP(ROUND(X22*86400-('C tider'!$C$6/180*60),6),0)*0.2),IF(LEFT('Deltager info'!$N20,3)="200",MAX(0,ROUNDUP(ROUND(X22*86400-('C tider'!$C$6/200*60),6),0)*0.2),""))))</f>
        <v/>
      </c>
      <c r="Z22" s="15" t="str">
        <f t="shared" si="3"/>
        <v/>
      </c>
      <c r="AA22" s="85"/>
      <c r="AB22" s="15" t="str">
        <f t="shared" si="4"/>
        <v/>
      </c>
      <c r="AC22" s="20" t="str">
        <f t="shared" si="5"/>
        <v/>
      </c>
      <c r="AD22" s="15" t="str">
        <f t="shared" si="6"/>
        <v/>
      </c>
    </row>
    <row r="23" spans="1:30">
      <c r="A23" s="15" t="str">
        <f>IF('Deltager info'!A21="","",'Deltager info'!A21)</f>
        <v/>
      </c>
      <c r="B23" s="15" t="str">
        <f>IF('Deltager info'!B21="","",'Deltager info'!B21)</f>
        <v/>
      </c>
      <c r="C23" s="85"/>
      <c r="D23" s="126"/>
      <c r="E23" s="126"/>
      <c r="F23" s="126"/>
      <c r="G23" s="15" t="str">
        <f t="shared" si="0"/>
        <v/>
      </c>
      <c r="H23" s="126"/>
      <c r="I23" s="15" t="str">
        <f t="shared" si="1"/>
        <v/>
      </c>
      <c r="J23" s="85"/>
      <c r="K23" s="126"/>
      <c r="L23" s="126"/>
      <c r="M23" s="126"/>
      <c r="N23" s="126"/>
      <c r="O23" s="126"/>
      <c r="P23" s="126"/>
      <c r="Q23" s="126"/>
      <c r="R23" s="127"/>
      <c r="S23" s="19" t="str">
        <f>IF(OR(ISBLANK(R23),'Deltager info'!$J21=""),"",IF(R23&lt;INDEX('B tider'!$C$11:$J$11,1,MATCH(VALUE(LEFT('Deltager info'!$J21,FIND(" ",'Deltager info'!$J21&amp;" ")-1)),'B tider'!$C$10:$J$10,0)),ROUNDUP(ROUND((INDEX('B tider'!$C$11:$J$11,1,MATCH(VALUE(LEFT('Deltager info'!$J21,FIND(" ",'Deltager info'!$J21&amp;" ")-1)),'B tider'!$C$10:$J$10,0))-R23)*86400,6),0)*0.2,IF(R23&gt;INDEX('B tider'!$C$13:$J$13,1,MATCH(VALUE(LEFT('Deltager info'!$J21,FIND(" ",'Deltager info'!$J21&amp;" ")-1)),'B tider'!$C$10:$J$10,0)),ROUNDUP(ROUND((R23-INDEX('B tider'!$C$13:$J$13,1,MATCH(VALUE(LEFT('Deltager info'!$J21,FIND(" ",'Deltager info'!$J21&amp;" ")-1)),'B tider'!$C$10:$J$10,0)))*86400,6),0)*0.2,0)))</f>
        <v/>
      </c>
      <c r="T23" s="15" t="str">
        <f t="shared" si="2"/>
        <v/>
      </c>
      <c r="U23" s="85"/>
      <c r="V23" s="126"/>
      <c r="W23" s="126"/>
      <c r="X23" s="129"/>
      <c r="Y23" s="36" t="str">
        <f>IF(ISBLANK(X23),"",IF(LEFT('Deltager info'!$N21,3)="150",MAX(0,ROUNDUP(ROUND(X23*86400-('C tider'!$C$6/150*60),6),0)*0.2),IF(LEFT('Deltager info'!$N21,3)="180",MAX(0,ROUNDUP(ROUND(X23*86400-('C tider'!$C$6/180*60),6),0)*0.2),IF(LEFT('Deltager info'!$N21,3)="200",MAX(0,ROUNDUP(ROUND(X23*86400-('C tider'!$C$6/200*60),6),0)*0.2),""))))</f>
        <v/>
      </c>
      <c r="Z23" s="15" t="str">
        <f t="shared" si="3"/>
        <v/>
      </c>
      <c r="AA23" s="85"/>
      <c r="AB23" s="15" t="str">
        <f t="shared" si="4"/>
        <v/>
      </c>
      <c r="AC23" s="20" t="str">
        <f t="shared" si="5"/>
        <v/>
      </c>
      <c r="AD23" s="15" t="str">
        <f t="shared" si="6"/>
        <v/>
      </c>
    </row>
    <row r="24" spans="1:30">
      <c r="A24" s="15" t="str">
        <f>IF('Deltager info'!A22="","",'Deltager info'!A22)</f>
        <v/>
      </c>
      <c r="B24" s="15" t="str">
        <f>IF('Deltager info'!B22="","",'Deltager info'!B22)</f>
        <v/>
      </c>
      <c r="C24" s="85"/>
      <c r="D24" s="126"/>
      <c r="E24" s="126"/>
      <c r="F24" s="126"/>
      <c r="G24" s="15" t="str">
        <f t="shared" si="0"/>
        <v/>
      </c>
      <c r="H24" s="126"/>
      <c r="I24" s="15" t="str">
        <f t="shared" si="1"/>
        <v/>
      </c>
      <c r="J24" s="85"/>
      <c r="K24" s="126"/>
      <c r="L24" s="126"/>
      <c r="M24" s="126"/>
      <c r="N24" s="126"/>
      <c r="O24" s="126"/>
      <c r="P24" s="126"/>
      <c r="Q24" s="126"/>
      <c r="R24" s="127"/>
      <c r="S24" s="19" t="str">
        <f>IF(OR(ISBLANK(R24),'Deltager info'!$J22=""),"",IF(R24&lt;INDEX('B tider'!$C$11:$J$11,1,MATCH(VALUE(LEFT('Deltager info'!$J22,FIND(" ",'Deltager info'!$J22&amp;" ")-1)),'B tider'!$C$10:$J$10,0)),ROUNDUP(ROUND((INDEX('B tider'!$C$11:$J$11,1,MATCH(VALUE(LEFT('Deltager info'!$J22,FIND(" ",'Deltager info'!$J22&amp;" ")-1)),'B tider'!$C$10:$J$10,0))-R24)*86400,6),0)*0.2,IF(R24&gt;INDEX('B tider'!$C$13:$J$13,1,MATCH(VALUE(LEFT('Deltager info'!$J22,FIND(" ",'Deltager info'!$J22&amp;" ")-1)),'B tider'!$C$10:$J$10,0)),ROUNDUP(ROUND((R24-INDEX('B tider'!$C$13:$J$13,1,MATCH(VALUE(LEFT('Deltager info'!$J22,FIND(" ",'Deltager info'!$J22&amp;" ")-1)),'B tider'!$C$10:$J$10,0)))*86400,6),0)*0.2,0)))</f>
        <v/>
      </c>
      <c r="T24" s="15" t="str">
        <f t="shared" si="2"/>
        <v/>
      </c>
      <c r="U24" s="85"/>
      <c r="V24" s="126"/>
      <c r="W24" s="126"/>
      <c r="X24" s="129"/>
      <c r="Y24" s="36" t="str">
        <f>IF(ISBLANK(X24),"",IF(LEFT('Deltager info'!$N22,3)="150",MAX(0,ROUNDUP(ROUND(X24*86400-('C tider'!$C$6/150*60),6),0)*0.2),IF(LEFT('Deltager info'!$N22,3)="180",MAX(0,ROUNDUP(ROUND(X24*86400-('C tider'!$C$6/180*60),6),0)*0.2),IF(LEFT('Deltager info'!$N22,3)="200",MAX(0,ROUNDUP(ROUND(X24*86400-('C tider'!$C$6/200*60),6),0)*0.2),""))))</f>
        <v/>
      </c>
      <c r="Z24" s="15" t="str">
        <f t="shared" si="3"/>
        <v/>
      </c>
      <c r="AA24" s="85"/>
      <c r="AB24" s="15" t="str">
        <f t="shared" si="4"/>
        <v/>
      </c>
      <c r="AC24" s="20" t="str">
        <f t="shared" si="5"/>
        <v/>
      </c>
      <c r="AD24" s="15" t="str">
        <f t="shared" si="6"/>
        <v/>
      </c>
    </row>
    <row r="25" spans="1:30">
      <c r="A25" s="15" t="str">
        <f>IF('Deltager info'!A23="","",'Deltager info'!A23)</f>
        <v/>
      </c>
      <c r="B25" s="15" t="str">
        <f>IF('Deltager info'!B23="","",'Deltager info'!B23)</f>
        <v/>
      </c>
      <c r="C25" s="85"/>
      <c r="D25" s="126"/>
      <c r="E25" s="126"/>
      <c r="F25" s="126"/>
      <c r="G25" s="15" t="str">
        <f t="shared" si="0"/>
        <v/>
      </c>
      <c r="H25" s="126"/>
      <c r="I25" s="15" t="str">
        <f t="shared" si="1"/>
        <v/>
      </c>
      <c r="J25" s="85"/>
      <c r="K25" s="126"/>
      <c r="L25" s="126"/>
      <c r="M25" s="126"/>
      <c r="N25" s="126"/>
      <c r="O25" s="126"/>
      <c r="P25" s="126"/>
      <c r="Q25" s="126"/>
      <c r="R25" s="127"/>
      <c r="S25" s="19" t="str">
        <f>IF(OR(ISBLANK(R25),'Deltager info'!$J23=""),"",IF(R25&lt;INDEX('B tider'!$C$11:$J$11,1,MATCH(VALUE(LEFT('Deltager info'!$J23,FIND(" ",'Deltager info'!$J23&amp;" ")-1)),'B tider'!$C$10:$J$10,0)),ROUNDUP(ROUND((INDEX('B tider'!$C$11:$J$11,1,MATCH(VALUE(LEFT('Deltager info'!$J23,FIND(" ",'Deltager info'!$J23&amp;" ")-1)),'B tider'!$C$10:$J$10,0))-R25)*86400,6),0)*0.2,IF(R25&gt;INDEX('B tider'!$C$13:$J$13,1,MATCH(VALUE(LEFT('Deltager info'!$J23,FIND(" ",'Deltager info'!$J23&amp;" ")-1)),'B tider'!$C$10:$J$10,0)),ROUNDUP(ROUND((R25-INDEX('B tider'!$C$13:$J$13,1,MATCH(VALUE(LEFT('Deltager info'!$J23,FIND(" ",'Deltager info'!$J23&amp;" ")-1)),'B tider'!$C$10:$J$10,0)))*86400,6),0)*0.2,0)))</f>
        <v/>
      </c>
      <c r="T25" s="15" t="str">
        <f t="shared" si="2"/>
        <v/>
      </c>
      <c r="U25" s="85"/>
      <c r="V25" s="126"/>
      <c r="W25" s="126"/>
      <c r="X25" s="129"/>
      <c r="Y25" s="36" t="str">
        <f>IF(ISBLANK(X25),"",IF(LEFT('Deltager info'!$N23,3)="150",MAX(0,ROUNDUP(ROUND(X25*86400-('C tider'!$C$6/150*60),6),0)*0.2),IF(LEFT('Deltager info'!$N23,3)="180",MAX(0,ROUNDUP(ROUND(X25*86400-('C tider'!$C$6/180*60),6),0)*0.2),IF(LEFT('Deltager info'!$N23,3)="200",MAX(0,ROUNDUP(ROUND(X25*86400-('C tider'!$C$6/200*60),6),0)*0.2),""))))</f>
        <v/>
      </c>
      <c r="Z25" s="15" t="str">
        <f t="shared" si="3"/>
        <v/>
      </c>
      <c r="AA25" s="85"/>
      <c r="AB25" s="15" t="str">
        <f t="shared" si="4"/>
        <v/>
      </c>
      <c r="AC25" s="20" t="str">
        <f t="shared" si="5"/>
        <v/>
      </c>
      <c r="AD25" s="15" t="str">
        <f t="shared" si="6"/>
        <v/>
      </c>
    </row>
    <row r="26" spans="1:30">
      <c r="A26" s="15" t="str">
        <f>IF('Deltager info'!A24="","",'Deltager info'!A24)</f>
        <v/>
      </c>
      <c r="B26" s="15" t="str">
        <f>IF('Deltager info'!B24="","",'Deltager info'!B24)</f>
        <v/>
      </c>
      <c r="C26" s="85"/>
      <c r="D26" s="126"/>
      <c r="E26" s="126"/>
      <c r="F26" s="126"/>
      <c r="G26" s="15" t="str">
        <f t="shared" si="0"/>
        <v/>
      </c>
      <c r="H26" s="126"/>
      <c r="I26" s="15" t="str">
        <f t="shared" si="1"/>
        <v/>
      </c>
      <c r="J26" s="85"/>
      <c r="K26" s="126"/>
      <c r="L26" s="126"/>
      <c r="M26" s="126"/>
      <c r="N26" s="126"/>
      <c r="O26" s="126"/>
      <c r="P26" s="126"/>
      <c r="Q26" s="126"/>
      <c r="R26" s="127"/>
      <c r="S26" s="19" t="str">
        <f>IF(OR(ISBLANK(R26),'Deltager info'!$J24=""),"",IF(R26&lt;INDEX('B tider'!$C$11:$J$11,1,MATCH(VALUE(LEFT('Deltager info'!$J24,FIND(" ",'Deltager info'!$J24&amp;" ")-1)),'B tider'!$C$10:$J$10,0)),ROUNDUP(ROUND((INDEX('B tider'!$C$11:$J$11,1,MATCH(VALUE(LEFT('Deltager info'!$J24,FIND(" ",'Deltager info'!$J24&amp;" ")-1)),'B tider'!$C$10:$J$10,0))-R26)*86400,6),0)*0.2,IF(R26&gt;INDEX('B tider'!$C$13:$J$13,1,MATCH(VALUE(LEFT('Deltager info'!$J24,FIND(" ",'Deltager info'!$J24&amp;" ")-1)),'B tider'!$C$10:$J$10,0)),ROUNDUP(ROUND((R26-INDEX('B tider'!$C$13:$J$13,1,MATCH(VALUE(LEFT('Deltager info'!$J24,FIND(" ",'Deltager info'!$J24&amp;" ")-1)),'B tider'!$C$10:$J$10,0)))*86400,6),0)*0.2,0)))</f>
        <v/>
      </c>
      <c r="T26" s="15" t="str">
        <f t="shared" si="2"/>
        <v/>
      </c>
      <c r="U26" s="85"/>
      <c r="V26" s="126"/>
      <c r="W26" s="126"/>
      <c r="X26" s="129"/>
      <c r="Y26" s="36" t="str">
        <f>IF(ISBLANK(X26),"",IF(LEFT('Deltager info'!$N24,3)="150",MAX(0,ROUNDUP(ROUND(X26*86400-('C tider'!$C$6/150*60),6),0)*0.2),IF(LEFT('Deltager info'!$N24,3)="180",MAX(0,ROUNDUP(ROUND(X26*86400-('C tider'!$C$6/180*60),6),0)*0.2),IF(LEFT('Deltager info'!$N24,3)="200",MAX(0,ROUNDUP(ROUND(X26*86400-('C tider'!$C$6/200*60),6),0)*0.2),""))))</f>
        <v/>
      </c>
      <c r="Z26" s="15" t="str">
        <f t="shared" si="3"/>
        <v/>
      </c>
      <c r="AA26" s="85"/>
      <c r="AB26" s="15" t="str">
        <f t="shared" si="4"/>
        <v/>
      </c>
      <c r="AC26" s="20" t="str">
        <f t="shared" si="5"/>
        <v/>
      </c>
      <c r="AD26" s="15" t="str">
        <f t="shared" si="6"/>
        <v/>
      </c>
    </row>
    <row r="27" spans="1:30">
      <c r="A27" s="15" t="str">
        <f>IF('Deltager info'!A25="","",'Deltager info'!A25)</f>
        <v/>
      </c>
      <c r="B27" s="15" t="str">
        <f>IF('Deltager info'!B25="","",'Deltager info'!B25)</f>
        <v/>
      </c>
      <c r="C27" s="85"/>
      <c r="D27" s="126"/>
      <c r="E27" s="126"/>
      <c r="F27" s="126"/>
      <c r="G27" s="15" t="str">
        <f t="shared" si="0"/>
        <v/>
      </c>
      <c r="H27" s="126"/>
      <c r="I27" s="15" t="str">
        <f t="shared" si="1"/>
        <v/>
      </c>
      <c r="J27" s="85"/>
      <c r="K27" s="126"/>
      <c r="L27" s="126"/>
      <c r="M27" s="126"/>
      <c r="N27" s="126"/>
      <c r="O27" s="126"/>
      <c r="P27" s="126"/>
      <c r="Q27" s="126"/>
      <c r="R27" s="127"/>
      <c r="S27" s="19" t="str">
        <f>IF(OR(ISBLANK(R27),'Deltager info'!$J25=""),"",IF(R27&lt;INDEX('B tider'!$C$11:$J$11,1,MATCH(VALUE(LEFT('Deltager info'!$J25,FIND(" ",'Deltager info'!$J25&amp;" ")-1)),'B tider'!$C$10:$J$10,0)),ROUNDUP(ROUND((INDEX('B tider'!$C$11:$J$11,1,MATCH(VALUE(LEFT('Deltager info'!$J25,FIND(" ",'Deltager info'!$J25&amp;" ")-1)),'B tider'!$C$10:$J$10,0))-R27)*86400,6),0)*0.2,IF(R27&gt;INDEX('B tider'!$C$13:$J$13,1,MATCH(VALUE(LEFT('Deltager info'!$J25,FIND(" ",'Deltager info'!$J25&amp;" ")-1)),'B tider'!$C$10:$J$10,0)),ROUNDUP(ROUND((R27-INDEX('B tider'!$C$13:$J$13,1,MATCH(VALUE(LEFT('Deltager info'!$J25,FIND(" ",'Deltager info'!$J25&amp;" ")-1)),'B tider'!$C$10:$J$10,0)))*86400,6),0)*0.2,0)))</f>
        <v/>
      </c>
      <c r="T27" s="15" t="str">
        <f t="shared" si="2"/>
        <v/>
      </c>
      <c r="U27" s="85"/>
      <c r="V27" s="126"/>
      <c r="W27" s="126"/>
      <c r="X27" s="129"/>
      <c r="Y27" s="36" t="str">
        <f>IF(ISBLANK(X27),"",IF(LEFT('Deltager info'!$N25,3)="150",MAX(0,ROUNDUP(ROUND(X27*86400-('C tider'!$C$6/150*60),6),0)*0.2),IF(LEFT('Deltager info'!$N25,3)="180",MAX(0,ROUNDUP(ROUND(X27*86400-('C tider'!$C$6/180*60),6),0)*0.2),IF(LEFT('Deltager info'!$N25,3)="200",MAX(0,ROUNDUP(ROUND(X27*86400-('C tider'!$C$6/200*60),6),0)*0.2),""))))</f>
        <v/>
      </c>
      <c r="Z27" s="15" t="str">
        <f t="shared" si="3"/>
        <v/>
      </c>
      <c r="AA27" s="85"/>
      <c r="AB27" s="15" t="str">
        <f t="shared" si="4"/>
        <v/>
      </c>
      <c r="AC27" s="20" t="str">
        <f t="shared" si="5"/>
        <v/>
      </c>
      <c r="AD27" s="15" t="str">
        <f t="shared" si="6"/>
        <v/>
      </c>
    </row>
    <row r="28" spans="1:30">
      <c r="A28" s="17" t="str">
        <f>'Deltager info'!A26</f>
        <v>Vogne efter 1945</v>
      </c>
      <c r="B28" s="91"/>
      <c r="C28" s="85"/>
      <c r="D28" s="130"/>
      <c r="E28" s="130"/>
      <c r="F28" s="130"/>
      <c r="G28" s="131" t="str">
        <f t="shared" si="0"/>
        <v/>
      </c>
      <c r="H28" s="130"/>
      <c r="I28" s="131" t="str">
        <f t="shared" si="1"/>
        <v/>
      </c>
      <c r="J28" s="85"/>
      <c r="K28" s="130"/>
      <c r="L28" s="130"/>
      <c r="M28" s="130"/>
      <c r="N28" s="130"/>
      <c r="O28" s="130"/>
      <c r="P28" s="130"/>
      <c r="Q28" s="130"/>
      <c r="R28" s="130"/>
      <c r="S28" s="130"/>
      <c r="T28" s="131" t="str">
        <f>IF(R28="","",SUM(K28:Q28)+S28)</f>
        <v/>
      </c>
      <c r="U28" s="85"/>
      <c r="V28" s="130"/>
      <c r="W28" s="130"/>
      <c r="X28" s="132"/>
      <c r="Y28" s="133"/>
      <c r="Z28" s="131" t="str">
        <f>IF(X28="","",SUM(V28:W28)+Y28)</f>
        <v/>
      </c>
      <c r="AA28" s="85"/>
      <c r="AB28" s="17" t="str">
        <f t="shared" si="4"/>
        <v/>
      </c>
      <c r="AC28" s="18" t="str">
        <f>IF(AB28="","",1+COUNTIF($AB$8:$AB$47,"&lt;"&amp;AB28))</f>
        <v/>
      </c>
      <c r="AD28" s="17" t="str">
        <f t="shared" si="6"/>
        <v/>
      </c>
    </row>
    <row r="29" spans="1:30">
      <c r="A29" s="15" t="str">
        <f>IF('Deltager info'!A27="","",'Deltager info'!A27)</f>
        <v/>
      </c>
      <c r="B29" s="15" t="str">
        <f>IF('Deltager info'!B27="","",'Deltager info'!B27)</f>
        <v/>
      </c>
      <c r="C29" s="85"/>
      <c r="D29" s="126">
        <v>180</v>
      </c>
      <c r="E29" s="126"/>
      <c r="F29" s="126"/>
      <c r="G29" s="15">
        <f t="shared" si="0"/>
        <v>180</v>
      </c>
      <c r="H29" s="126"/>
      <c r="I29" s="15">
        <f t="shared" si="1"/>
        <v>0</v>
      </c>
      <c r="J29" s="85"/>
      <c r="K29" s="126">
        <v>20</v>
      </c>
      <c r="L29" s="126">
        <v>10</v>
      </c>
      <c r="M29" s="126">
        <v>0</v>
      </c>
      <c r="N29" s="126">
        <v>20</v>
      </c>
      <c r="O29" s="126">
        <v>10</v>
      </c>
      <c r="P29" s="126">
        <v>0</v>
      </c>
      <c r="Q29" s="126">
        <v>20</v>
      </c>
      <c r="R29" s="127">
        <v>6.1319444444444447E-2</v>
      </c>
      <c r="S29" s="19" t="str">
        <f>IF(OR(ISBLANK(R29),'Deltager info'!$J27=""),"",IF(R29&lt;INDEX('B tider'!$C$11:$J$11,1,MATCH(VALUE(LEFT('Deltager info'!$J27,FIND(" ",'Deltager info'!$J27&amp;" ")-1)),'B tider'!$C$10:$J$10,0)),ROUNDUP(ROUND((INDEX('B tider'!$C$11:$J$11,1,MATCH(VALUE(LEFT('Deltager info'!$J27,FIND(" ",'Deltager info'!$J27&amp;" ")-1)),'B tider'!$C$10:$J$10,0))-R29)*86400,6),0)*0.2,IF(R29&gt;INDEX('B tider'!$C$13:$J$13,1,MATCH(VALUE(LEFT('Deltager info'!$J27,FIND(" ",'Deltager info'!$J27&amp;" ")-1)),'B tider'!$C$10:$J$10,0)),ROUNDUP(ROUND((R29-INDEX('B tider'!$C$13:$J$13,1,MATCH(VALUE(LEFT('Deltager info'!$J27,FIND(" ",'Deltager info'!$J27&amp;" ")-1)),'B tider'!$C$10:$J$10,0)))*86400,6),0)*0.2,0)))</f>
        <v/>
      </c>
      <c r="T29" s="15" t="str">
        <f t="shared" ref="T29:T48" si="7">IF(OR(R29="",S29=""),"",SUM(K29:Q29)+S29)</f>
        <v/>
      </c>
      <c r="U29" s="85"/>
      <c r="V29" s="126">
        <v>5</v>
      </c>
      <c r="W29" s="126"/>
      <c r="X29" s="129">
        <v>2.8587962962962959E-3</v>
      </c>
      <c r="Y29" s="36" t="str">
        <f>IF(ISBLANK(X29),"",IF(LEFT('Deltager info'!$N27,3)="150",MAX(0,ROUNDUP(ROUND(X29*86400-('C tider'!$C$6/150*60),6),0)*0.2),IF(LEFT('Deltager info'!$N27,3)="180",MAX(0,ROUNDUP(ROUND(X29*86400-('C tider'!$C$6/180*60),6),0)*0.2),IF(LEFT('Deltager info'!$N27,3)="200",MAX(0,ROUNDUP(ROUND(X29*86400-('C tider'!$C$6/200*60),6),0)*0.2),""))))</f>
        <v/>
      </c>
      <c r="Z29" s="15" t="str">
        <f t="shared" ref="Z29:Z48" si="8">IF(OR(X29="",Y29=""),"",SUM(V29:W29)+Y29)</f>
        <v/>
      </c>
      <c r="AA29" s="85"/>
      <c r="AB29" s="15" t="str">
        <f t="shared" si="4"/>
        <v/>
      </c>
      <c r="AC29" s="20" t="str">
        <f t="shared" ref="AC29:AC48" si="9">IF(AB29="","",1+COUNTIF($AB$29:$AB$48,"&lt;"&amp;AB29))</f>
        <v/>
      </c>
      <c r="AD29" s="15" t="str">
        <f t="shared" si="6"/>
        <v/>
      </c>
    </row>
    <row r="30" spans="1:30">
      <c r="A30" s="15" t="str">
        <f>IF('Deltager info'!A28="","",'Deltager info'!A28)</f>
        <v/>
      </c>
      <c r="B30" s="15" t="str">
        <f>IF('Deltager info'!B28="","",'Deltager info'!B28)</f>
        <v/>
      </c>
      <c r="C30" s="85"/>
      <c r="D30" s="126">
        <v>160</v>
      </c>
      <c r="E30" s="126">
        <v>120</v>
      </c>
      <c r="F30" s="126"/>
      <c r="G30" s="15">
        <f t="shared" si="0"/>
        <v>140</v>
      </c>
      <c r="H30" s="126"/>
      <c r="I30" s="15">
        <f t="shared" si="1"/>
        <v>40</v>
      </c>
      <c r="J30" s="85"/>
      <c r="K30" s="126">
        <v>10</v>
      </c>
      <c r="L30" s="126">
        <v>0</v>
      </c>
      <c r="M30" s="126">
        <v>20</v>
      </c>
      <c r="N30" s="126">
        <v>10</v>
      </c>
      <c r="O30" s="126">
        <v>0</v>
      </c>
      <c r="P30" s="126">
        <v>20</v>
      </c>
      <c r="Q30" s="126">
        <v>10</v>
      </c>
      <c r="R30" s="127">
        <v>5.0752314814814813E-2</v>
      </c>
      <c r="S30" s="19" t="str">
        <f>IF(OR(ISBLANK(R30),'Deltager info'!$J28=""),"",IF(R30&lt;INDEX('B tider'!$C$11:$J$11,1,MATCH(VALUE(LEFT('Deltager info'!$J28,FIND(" ",'Deltager info'!$J28&amp;" ")-1)),'B tider'!$C$10:$J$10,0)),ROUNDUP(ROUND((INDEX('B tider'!$C$11:$J$11,1,MATCH(VALUE(LEFT('Deltager info'!$J28,FIND(" ",'Deltager info'!$J28&amp;" ")-1)),'B tider'!$C$10:$J$10,0))-R30)*86400,6),0)*0.2,IF(R30&gt;INDEX('B tider'!$C$13:$J$13,1,MATCH(VALUE(LEFT('Deltager info'!$J28,FIND(" ",'Deltager info'!$J28&amp;" ")-1)),'B tider'!$C$10:$J$10,0)),ROUNDUP(ROUND((R30-INDEX('B tider'!$C$13:$J$13,1,MATCH(VALUE(LEFT('Deltager info'!$J28,FIND(" ",'Deltager info'!$J28&amp;" ")-1)),'B tider'!$C$10:$J$10,0)))*86400,6),0)*0.2,0)))</f>
        <v/>
      </c>
      <c r="T30" s="15" t="str">
        <f t="shared" si="7"/>
        <v/>
      </c>
      <c r="U30" s="85"/>
      <c r="V30" s="126">
        <v>15</v>
      </c>
      <c r="W30" s="126">
        <v>30</v>
      </c>
      <c r="X30" s="129">
        <v>3.5416666666666661E-3</v>
      </c>
      <c r="Y30" s="36" t="str">
        <f>IF(ISBLANK(X30),"",IF(LEFT('Deltager info'!$N28,3)="150",MAX(0,ROUNDUP(ROUND(X30*86400-('C tider'!$C$6/150*60),6),0)*0.2),IF(LEFT('Deltager info'!$N28,3)="180",MAX(0,ROUNDUP(ROUND(X30*86400-('C tider'!$C$6/180*60),6),0)*0.2),IF(LEFT('Deltager info'!$N28,3)="200",MAX(0,ROUNDUP(ROUND(X30*86400-('C tider'!$C$6/200*60),6),0)*0.2),""))))</f>
        <v/>
      </c>
      <c r="Z30" s="15" t="str">
        <f t="shared" si="8"/>
        <v/>
      </c>
      <c r="AA30" s="85"/>
      <c r="AB30" s="15" t="str">
        <f t="shared" si="4"/>
        <v/>
      </c>
      <c r="AC30" s="20" t="str">
        <f t="shared" si="9"/>
        <v/>
      </c>
      <c r="AD30" s="15" t="str">
        <f t="shared" si="6"/>
        <v/>
      </c>
    </row>
    <row r="31" spans="1:30">
      <c r="A31" s="15" t="str">
        <f>IF('Deltager info'!A29="","",'Deltager info'!A29)</f>
        <v/>
      </c>
      <c r="B31" s="15" t="str">
        <f>IF('Deltager info'!B29="","",'Deltager info'!B29)</f>
        <v/>
      </c>
      <c r="C31" s="85"/>
      <c r="D31" s="126">
        <v>170</v>
      </c>
      <c r="E31" s="126">
        <v>100</v>
      </c>
      <c r="F31" s="126">
        <v>18</v>
      </c>
      <c r="G31" s="15">
        <f t="shared" si="0"/>
        <v>96</v>
      </c>
      <c r="H31" s="126"/>
      <c r="I31" s="15">
        <f t="shared" si="1"/>
        <v>84</v>
      </c>
      <c r="J31" s="85"/>
      <c r="K31" s="126">
        <v>0</v>
      </c>
      <c r="L31" s="126">
        <v>20</v>
      </c>
      <c r="M31" s="126">
        <v>10</v>
      </c>
      <c r="N31" s="126">
        <v>0</v>
      </c>
      <c r="O31" s="126">
        <v>20</v>
      </c>
      <c r="P31" s="126">
        <v>10</v>
      </c>
      <c r="Q31" s="126">
        <v>0</v>
      </c>
      <c r="R31" s="127">
        <v>4.3657407407407409E-2</v>
      </c>
      <c r="S31" s="19" t="str">
        <f>IF(OR(ISBLANK(R31),'Deltager info'!$J29=""),"",IF(R31&lt;INDEX('B tider'!$C$11:$J$11,1,MATCH(VALUE(LEFT('Deltager info'!$J29,FIND(" ",'Deltager info'!$J29&amp;" ")-1)),'B tider'!$C$10:$J$10,0)),ROUNDUP(ROUND((INDEX('B tider'!$C$11:$J$11,1,MATCH(VALUE(LEFT('Deltager info'!$J29,FIND(" ",'Deltager info'!$J29&amp;" ")-1)),'B tider'!$C$10:$J$10,0))-R31)*86400,6),0)*0.2,IF(R31&gt;INDEX('B tider'!$C$13:$J$13,1,MATCH(VALUE(LEFT('Deltager info'!$J29,FIND(" ",'Deltager info'!$J29&amp;" ")-1)),'B tider'!$C$10:$J$10,0)),ROUNDUP(ROUND((R31-INDEX('B tider'!$C$13:$J$13,1,MATCH(VALUE(LEFT('Deltager info'!$J29,FIND(" ",'Deltager info'!$J29&amp;" ")-1)),'B tider'!$C$10:$J$10,0)))*86400,6),0)*0.2,0)))</f>
        <v/>
      </c>
      <c r="T31" s="15" t="str">
        <f t="shared" si="7"/>
        <v/>
      </c>
      <c r="U31" s="85"/>
      <c r="V31" s="126">
        <v>20</v>
      </c>
      <c r="W31" s="126"/>
      <c r="X31" s="129">
        <v>2.8587962962962959E-3</v>
      </c>
      <c r="Y31" s="36" t="str">
        <f>IF(ISBLANK(X31),"",IF(LEFT('Deltager info'!$N29,3)="150",MAX(0,ROUNDUP(ROUND(X31*86400-('C tider'!$C$6/150*60),6),0)*0.2),IF(LEFT('Deltager info'!$N29,3)="180",MAX(0,ROUNDUP(ROUND(X31*86400-('C tider'!$C$6/180*60),6),0)*0.2),IF(LEFT('Deltager info'!$N29,3)="200",MAX(0,ROUNDUP(ROUND(X31*86400-('C tider'!$C$6/200*60),6),0)*0.2),""))))</f>
        <v/>
      </c>
      <c r="Z31" s="15" t="str">
        <f t="shared" si="8"/>
        <v/>
      </c>
      <c r="AA31" s="85"/>
      <c r="AB31" s="15" t="str">
        <f t="shared" si="4"/>
        <v/>
      </c>
      <c r="AC31" s="20" t="str">
        <f t="shared" si="9"/>
        <v/>
      </c>
      <c r="AD31" s="15" t="str">
        <f t="shared" si="6"/>
        <v/>
      </c>
    </row>
    <row r="32" spans="1:30">
      <c r="A32" s="15" t="str">
        <f>IF('Deltager info'!A30="","",'Deltager info'!A30)</f>
        <v/>
      </c>
      <c r="B32" s="15" t="str">
        <f>IF('Deltager info'!B30="","",'Deltager info'!B30)</f>
        <v/>
      </c>
      <c r="C32" s="85"/>
      <c r="D32" s="126"/>
      <c r="E32" s="126">
        <v>180</v>
      </c>
      <c r="F32" s="126"/>
      <c r="G32" s="15" t="str">
        <f t="shared" si="0"/>
        <v/>
      </c>
      <c r="H32" s="126"/>
      <c r="I32" s="15" t="str">
        <f t="shared" si="1"/>
        <v/>
      </c>
      <c r="J32" s="85"/>
      <c r="K32" s="126">
        <v>20</v>
      </c>
      <c r="L32" s="126">
        <v>10</v>
      </c>
      <c r="M32" s="126">
        <v>0</v>
      </c>
      <c r="N32" s="126">
        <v>20</v>
      </c>
      <c r="O32" s="126">
        <v>10</v>
      </c>
      <c r="P32" s="126">
        <v>0</v>
      </c>
      <c r="Q32" s="126">
        <v>20</v>
      </c>
      <c r="R32" s="127">
        <v>4.8391203703703707E-2</v>
      </c>
      <c r="S32" s="19" t="str">
        <f>IF(OR(ISBLANK(R32),'Deltager info'!$J30=""),"",IF(R32&lt;INDEX('B tider'!$C$11:$J$11,1,MATCH(VALUE(LEFT('Deltager info'!$J30,FIND(" ",'Deltager info'!$J30&amp;" ")-1)),'B tider'!$C$10:$J$10,0)),ROUNDUP(ROUND((INDEX('B tider'!$C$11:$J$11,1,MATCH(VALUE(LEFT('Deltager info'!$J30,FIND(" ",'Deltager info'!$J30&amp;" ")-1)),'B tider'!$C$10:$J$10,0))-R32)*86400,6),0)*0.2,IF(R32&gt;INDEX('B tider'!$C$13:$J$13,1,MATCH(VALUE(LEFT('Deltager info'!$J30,FIND(" ",'Deltager info'!$J30&amp;" ")-1)),'B tider'!$C$10:$J$10,0)),ROUNDUP(ROUND((R32-INDEX('B tider'!$C$13:$J$13,1,MATCH(VALUE(LEFT('Deltager info'!$J30,FIND(" ",'Deltager info'!$J30&amp;" ")-1)),'B tider'!$C$10:$J$10,0)))*86400,6),0)*0.2,0)))</f>
        <v/>
      </c>
      <c r="T32" s="15" t="str">
        <f t="shared" si="7"/>
        <v/>
      </c>
      <c r="U32" s="85"/>
      <c r="V32" s="126"/>
      <c r="W32" s="126"/>
      <c r="X32" s="129">
        <v>2.627314814814815E-3</v>
      </c>
      <c r="Y32" s="36" t="str">
        <f>IF(ISBLANK(X32),"",IF(LEFT('Deltager info'!$N30,3)="150",MAX(0,ROUNDUP(ROUND(X32*86400-('C tider'!$C$6/150*60),6),0)*0.2),IF(LEFT('Deltager info'!$N30,3)="180",MAX(0,ROUNDUP(ROUND(X32*86400-('C tider'!$C$6/180*60),6),0)*0.2),IF(LEFT('Deltager info'!$N30,3)="200",MAX(0,ROUNDUP(ROUND(X32*86400-('C tider'!$C$6/200*60),6),0)*0.2),""))))</f>
        <v/>
      </c>
      <c r="Z32" s="15" t="str">
        <f t="shared" si="8"/>
        <v/>
      </c>
      <c r="AA32" s="85"/>
      <c r="AB32" s="15" t="str">
        <f t="shared" si="4"/>
        <v/>
      </c>
      <c r="AC32" s="20" t="str">
        <f t="shared" si="9"/>
        <v/>
      </c>
      <c r="AD32" s="15" t="str">
        <f t="shared" si="6"/>
        <v/>
      </c>
    </row>
    <row r="33" spans="1:30">
      <c r="A33" s="15" t="str">
        <f>IF('Deltager info'!A31="","",'Deltager info'!A31)</f>
        <v/>
      </c>
      <c r="B33" s="15" t="str">
        <f>IF('Deltager info'!B31="","",'Deltager info'!B31)</f>
        <v/>
      </c>
      <c r="C33" s="85"/>
      <c r="D33" s="126"/>
      <c r="E33" s="126"/>
      <c r="F33" s="126"/>
      <c r="G33" s="15" t="str">
        <f t="shared" si="0"/>
        <v/>
      </c>
      <c r="H33" s="126"/>
      <c r="I33" s="15" t="str">
        <f t="shared" si="1"/>
        <v/>
      </c>
      <c r="J33" s="85"/>
      <c r="K33" s="126"/>
      <c r="L33" s="126"/>
      <c r="M33" s="126"/>
      <c r="N33" s="126"/>
      <c r="O33" s="126"/>
      <c r="P33" s="126"/>
      <c r="Q33" s="126"/>
      <c r="R33" s="127"/>
      <c r="S33" s="19" t="str">
        <f>IF(OR(ISBLANK(R33),'Deltager info'!$J31=""),"",IF(R33&lt;INDEX('B tider'!$C$11:$J$11,1,MATCH(VALUE(LEFT('Deltager info'!$J31,FIND(" ",'Deltager info'!$J31&amp;" ")-1)),'B tider'!$C$10:$J$10,0)),ROUNDUP(ROUND((INDEX('B tider'!$C$11:$J$11,1,MATCH(VALUE(LEFT('Deltager info'!$J31,FIND(" ",'Deltager info'!$J31&amp;" ")-1)),'B tider'!$C$10:$J$10,0))-R33)*86400,6),0)*0.2,IF(R33&gt;INDEX('B tider'!$C$13:$J$13,1,MATCH(VALUE(LEFT('Deltager info'!$J31,FIND(" ",'Deltager info'!$J31&amp;" ")-1)),'B tider'!$C$10:$J$10,0)),ROUNDUP(ROUND((R33-INDEX('B tider'!$C$13:$J$13,1,MATCH(VALUE(LEFT('Deltager info'!$J31,FIND(" ",'Deltager info'!$J31&amp;" ")-1)),'B tider'!$C$10:$J$10,0)))*86400,6),0)*0.2,0)))</f>
        <v/>
      </c>
      <c r="T33" s="15" t="str">
        <f t="shared" si="7"/>
        <v/>
      </c>
      <c r="U33" s="85"/>
      <c r="V33" s="126"/>
      <c r="W33" s="126"/>
      <c r="X33" s="129"/>
      <c r="Y33" s="36" t="str">
        <f>IF(ISBLANK(X33),"",IF(LEFT('Deltager info'!$N31,3)="150",MAX(0,ROUNDUP(ROUND(X33*86400-('C tider'!$C$6/150*60),6),0)*0.2),IF(LEFT('Deltager info'!$N31,3)="180",MAX(0,ROUNDUP(ROUND(X33*86400-('C tider'!$C$6/180*60),6),0)*0.2),IF(LEFT('Deltager info'!$N31,3)="200",MAX(0,ROUNDUP(ROUND(X33*86400-('C tider'!$C$6/200*60),6),0)*0.2),""))))</f>
        <v/>
      </c>
      <c r="Z33" s="15" t="str">
        <f t="shared" si="8"/>
        <v/>
      </c>
      <c r="AA33" s="85"/>
      <c r="AB33" s="15" t="str">
        <f t="shared" si="4"/>
        <v/>
      </c>
      <c r="AC33" s="20" t="str">
        <f t="shared" si="9"/>
        <v/>
      </c>
      <c r="AD33" s="15" t="str">
        <f t="shared" si="6"/>
        <v/>
      </c>
    </row>
    <row r="34" spans="1:30">
      <c r="A34" s="15" t="str">
        <f>IF('Deltager info'!A32="","",'Deltager info'!A32)</f>
        <v/>
      </c>
      <c r="B34" s="15" t="str">
        <f>IF('Deltager info'!B32="","",'Deltager info'!B32)</f>
        <v/>
      </c>
      <c r="C34" s="85"/>
      <c r="D34" s="126"/>
      <c r="E34" s="126"/>
      <c r="F34" s="126"/>
      <c r="G34" s="15" t="str">
        <f t="shared" si="0"/>
        <v/>
      </c>
      <c r="H34" s="126"/>
      <c r="I34" s="15" t="str">
        <f t="shared" si="1"/>
        <v/>
      </c>
      <c r="J34" s="85"/>
      <c r="K34" s="126"/>
      <c r="L34" s="126"/>
      <c r="M34" s="126"/>
      <c r="N34" s="126"/>
      <c r="O34" s="126"/>
      <c r="P34" s="126"/>
      <c r="Q34" s="126"/>
      <c r="R34" s="127"/>
      <c r="S34" s="19" t="str">
        <f>IF(OR(ISBLANK(R34),'Deltager info'!$J32=""),"",IF(R34&lt;INDEX('B tider'!$C$11:$J$11,1,MATCH(VALUE(LEFT('Deltager info'!$J32,FIND(" ",'Deltager info'!$J32&amp;" ")-1)),'B tider'!$C$10:$J$10,0)),ROUNDUP(ROUND((INDEX('B tider'!$C$11:$J$11,1,MATCH(VALUE(LEFT('Deltager info'!$J32,FIND(" ",'Deltager info'!$J32&amp;" ")-1)),'B tider'!$C$10:$J$10,0))-R34)*86400,6),0)*0.2,IF(R34&gt;INDEX('B tider'!$C$13:$J$13,1,MATCH(VALUE(LEFT('Deltager info'!$J32,FIND(" ",'Deltager info'!$J32&amp;" ")-1)),'B tider'!$C$10:$J$10,0)),ROUNDUP(ROUND((R34-INDEX('B tider'!$C$13:$J$13,1,MATCH(VALUE(LEFT('Deltager info'!$J32,FIND(" ",'Deltager info'!$J32&amp;" ")-1)),'B tider'!$C$10:$J$10,0)))*86400,6),0)*0.2,0)))</f>
        <v/>
      </c>
      <c r="T34" s="15" t="str">
        <f t="shared" si="7"/>
        <v/>
      </c>
      <c r="U34" s="85"/>
      <c r="V34" s="126"/>
      <c r="W34" s="126"/>
      <c r="X34" s="129"/>
      <c r="Y34" s="36" t="str">
        <f>IF(ISBLANK(X34),"",IF(LEFT('Deltager info'!$N32,3)="150",MAX(0,ROUNDUP(ROUND(X34*86400-('C tider'!$C$6/150*60),6),0)*0.2),IF(LEFT('Deltager info'!$N32,3)="180",MAX(0,ROUNDUP(ROUND(X34*86400-('C tider'!$C$6/180*60),6),0)*0.2),IF(LEFT('Deltager info'!$N32,3)="200",MAX(0,ROUNDUP(ROUND(X34*86400-('C tider'!$C$6/200*60),6),0)*0.2),""))))</f>
        <v/>
      </c>
      <c r="Z34" s="15" t="str">
        <f t="shared" si="8"/>
        <v/>
      </c>
      <c r="AA34" s="85"/>
      <c r="AB34" s="15" t="str">
        <f t="shared" si="4"/>
        <v/>
      </c>
      <c r="AC34" s="20" t="str">
        <f t="shared" si="9"/>
        <v/>
      </c>
      <c r="AD34" s="15" t="str">
        <f t="shared" si="6"/>
        <v/>
      </c>
    </row>
    <row r="35" spans="1:30">
      <c r="A35" s="15" t="str">
        <f>IF('Deltager info'!A33="","",'Deltager info'!A33)</f>
        <v/>
      </c>
      <c r="B35" s="15" t="str">
        <f>IF('Deltager info'!B33="","",'Deltager info'!B33)</f>
        <v/>
      </c>
      <c r="C35" s="85"/>
      <c r="D35" s="126"/>
      <c r="E35" s="126"/>
      <c r="F35" s="126"/>
      <c r="G35" s="15" t="str">
        <f t="shared" si="0"/>
        <v/>
      </c>
      <c r="H35" s="126"/>
      <c r="I35" s="15" t="str">
        <f t="shared" si="1"/>
        <v/>
      </c>
      <c r="J35" s="85"/>
      <c r="K35" s="126"/>
      <c r="L35" s="126"/>
      <c r="M35" s="126"/>
      <c r="N35" s="126"/>
      <c r="O35" s="126"/>
      <c r="P35" s="126"/>
      <c r="Q35" s="126"/>
      <c r="R35" s="127"/>
      <c r="S35" s="19" t="str">
        <f>IF(OR(ISBLANK(R35),'Deltager info'!$J33=""),"",IF(R35&lt;INDEX('B tider'!$C$11:$J$11,1,MATCH(VALUE(LEFT('Deltager info'!$J33,FIND(" ",'Deltager info'!$J33&amp;" ")-1)),'B tider'!$C$10:$J$10,0)),ROUNDUP(ROUND((INDEX('B tider'!$C$11:$J$11,1,MATCH(VALUE(LEFT('Deltager info'!$J33,FIND(" ",'Deltager info'!$J33&amp;" ")-1)),'B tider'!$C$10:$J$10,0))-R35)*86400,6),0)*0.2,IF(R35&gt;INDEX('B tider'!$C$13:$J$13,1,MATCH(VALUE(LEFT('Deltager info'!$J33,FIND(" ",'Deltager info'!$J33&amp;" ")-1)),'B tider'!$C$10:$J$10,0)),ROUNDUP(ROUND((R35-INDEX('B tider'!$C$13:$J$13,1,MATCH(VALUE(LEFT('Deltager info'!$J33,FIND(" ",'Deltager info'!$J33&amp;" ")-1)),'B tider'!$C$10:$J$10,0)))*86400,6),0)*0.2,0)))</f>
        <v/>
      </c>
      <c r="T35" s="15" t="str">
        <f t="shared" si="7"/>
        <v/>
      </c>
      <c r="U35" s="85"/>
      <c r="V35" s="126"/>
      <c r="W35" s="126"/>
      <c r="X35" s="129"/>
      <c r="Y35" s="36" t="str">
        <f>IF(ISBLANK(X35),"",IF(LEFT('Deltager info'!$N33,3)="150",MAX(0,ROUNDUP(ROUND(X35*86400-('C tider'!$C$6/150*60),6),0)*0.2),IF(LEFT('Deltager info'!$N33,3)="180",MAX(0,ROUNDUP(ROUND(X35*86400-('C tider'!$C$6/180*60),6),0)*0.2),IF(LEFT('Deltager info'!$N33,3)="200",MAX(0,ROUNDUP(ROUND(X35*86400-('C tider'!$C$6/200*60),6),0)*0.2),""))))</f>
        <v/>
      </c>
      <c r="Z35" s="15" t="str">
        <f t="shared" si="8"/>
        <v/>
      </c>
      <c r="AA35" s="85"/>
      <c r="AB35" s="15" t="str">
        <f t="shared" si="4"/>
        <v/>
      </c>
      <c r="AC35" s="20" t="str">
        <f t="shared" si="9"/>
        <v/>
      </c>
      <c r="AD35" s="15" t="str">
        <f t="shared" si="6"/>
        <v/>
      </c>
    </row>
    <row r="36" spans="1:30">
      <c r="A36" s="15" t="str">
        <f>IF('Deltager info'!A34="","",'Deltager info'!A34)</f>
        <v/>
      </c>
      <c r="B36" s="15" t="str">
        <f>IF('Deltager info'!B34="","",'Deltager info'!B34)</f>
        <v/>
      </c>
      <c r="C36" s="85"/>
      <c r="D36" s="126"/>
      <c r="E36" s="126"/>
      <c r="F36" s="126"/>
      <c r="G36" s="15" t="str">
        <f t="shared" si="0"/>
        <v/>
      </c>
      <c r="H36" s="126"/>
      <c r="I36" s="15" t="str">
        <f t="shared" si="1"/>
        <v/>
      </c>
      <c r="J36" s="85"/>
      <c r="K36" s="126"/>
      <c r="L36" s="126"/>
      <c r="M36" s="126"/>
      <c r="N36" s="126"/>
      <c r="O36" s="126"/>
      <c r="P36" s="126"/>
      <c r="Q36" s="126"/>
      <c r="R36" s="127"/>
      <c r="S36" s="19" t="str">
        <f>IF(OR(ISBLANK(R36),'Deltager info'!$J34=""),"",IF(R36&lt;INDEX('B tider'!$C$11:$J$11,1,MATCH(VALUE(LEFT('Deltager info'!$J34,FIND(" ",'Deltager info'!$J34&amp;" ")-1)),'B tider'!$C$10:$J$10,0)),ROUNDUP(ROUND((INDEX('B tider'!$C$11:$J$11,1,MATCH(VALUE(LEFT('Deltager info'!$J34,FIND(" ",'Deltager info'!$J34&amp;" ")-1)),'B tider'!$C$10:$J$10,0))-R36)*86400,6),0)*0.2,IF(R36&gt;INDEX('B tider'!$C$13:$J$13,1,MATCH(VALUE(LEFT('Deltager info'!$J34,FIND(" ",'Deltager info'!$J34&amp;" ")-1)),'B tider'!$C$10:$J$10,0)),ROUNDUP(ROUND((R36-INDEX('B tider'!$C$13:$J$13,1,MATCH(VALUE(LEFT('Deltager info'!$J34,FIND(" ",'Deltager info'!$J34&amp;" ")-1)),'B tider'!$C$10:$J$10,0)))*86400,6),0)*0.2,0)))</f>
        <v/>
      </c>
      <c r="T36" s="15" t="str">
        <f t="shared" si="7"/>
        <v/>
      </c>
      <c r="U36" s="85"/>
      <c r="V36" s="126"/>
      <c r="W36" s="126"/>
      <c r="X36" s="129"/>
      <c r="Y36" s="36" t="str">
        <f>IF(ISBLANK(X36),"",IF(LEFT('Deltager info'!$N34,3)="150",MAX(0,ROUNDUP(ROUND(X36*86400-('C tider'!$C$6/150*60),6),0)*0.2),IF(LEFT('Deltager info'!$N34,3)="180",MAX(0,ROUNDUP(ROUND(X36*86400-('C tider'!$C$6/180*60),6),0)*0.2),IF(LEFT('Deltager info'!$N34,3)="200",MAX(0,ROUNDUP(ROUND(X36*86400-('C tider'!$C$6/200*60),6),0)*0.2),""))))</f>
        <v/>
      </c>
      <c r="Z36" s="15" t="str">
        <f t="shared" si="8"/>
        <v/>
      </c>
      <c r="AA36" s="85"/>
      <c r="AB36" s="15" t="str">
        <f t="shared" si="4"/>
        <v/>
      </c>
      <c r="AC36" s="20" t="str">
        <f t="shared" si="9"/>
        <v/>
      </c>
      <c r="AD36" s="15" t="str">
        <f t="shared" si="6"/>
        <v/>
      </c>
    </row>
    <row r="37" spans="1:30">
      <c r="A37" s="15" t="str">
        <f>IF('Deltager info'!A35="","",'Deltager info'!A35)</f>
        <v/>
      </c>
      <c r="B37" s="15" t="str">
        <f>IF('Deltager info'!B35="","",'Deltager info'!B35)</f>
        <v/>
      </c>
      <c r="C37" s="85"/>
      <c r="D37" s="126"/>
      <c r="E37" s="126"/>
      <c r="F37" s="126"/>
      <c r="G37" s="15" t="str">
        <f t="shared" si="0"/>
        <v/>
      </c>
      <c r="H37" s="126"/>
      <c r="I37" s="15" t="str">
        <f t="shared" si="1"/>
        <v/>
      </c>
      <c r="J37" s="85"/>
      <c r="K37" s="126"/>
      <c r="L37" s="126"/>
      <c r="M37" s="126"/>
      <c r="N37" s="126"/>
      <c r="O37" s="126"/>
      <c r="P37" s="126"/>
      <c r="Q37" s="126"/>
      <c r="R37" s="127"/>
      <c r="S37" s="19" t="str">
        <f>IF(OR(ISBLANK(R37),'Deltager info'!$J35=""),"",IF(R37&lt;INDEX('B tider'!$C$11:$J$11,1,MATCH(VALUE(LEFT('Deltager info'!$J35,FIND(" ",'Deltager info'!$J35&amp;" ")-1)),'B tider'!$C$10:$J$10,0)),ROUNDUP(ROUND((INDEX('B tider'!$C$11:$J$11,1,MATCH(VALUE(LEFT('Deltager info'!$J35,FIND(" ",'Deltager info'!$J35&amp;" ")-1)),'B tider'!$C$10:$J$10,0))-R37)*86400,6),0)*0.2,IF(R37&gt;INDEX('B tider'!$C$13:$J$13,1,MATCH(VALUE(LEFT('Deltager info'!$J35,FIND(" ",'Deltager info'!$J35&amp;" ")-1)),'B tider'!$C$10:$J$10,0)),ROUNDUP(ROUND((R37-INDEX('B tider'!$C$13:$J$13,1,MATCH(VALUE(LEFT('Deltager info'!$J35,FIND(" ",'Deltager info'!$J35&amp;" ")-1)),'B tider'!$C$10:$J$10,0)))*86400,6),0)*0.2,0)))</f>
        <v/>
      </c>
      <c r="T37" s="15" t="str">
        <f t="shared" si="7"/>
        <v/>
      </c>
      <c r="U37" s="85"/>
      <c r="V37" s="126"/>
      <c r="W37" s="126"/>
      <c r="X37" s="129"/>
      <c r="Y37" s="36" t="str">
        <f>IF(ISBLANK(X37),"",IF(LEFT('Deltager info'!$N35,3)="150",MAX(0,ROUNDUP(ROUND(X37*86400-('C tider'!$C$6/150*60),6),0)*0.2),IF(LEFT('Deltager info'!$N35,3)="180",MAX(0,ROUNDUP(ROUND(X37*86400-('C tider'!$C$6/180*60),6),0)*0.2),IF(LEFT('Deltager info'!$N35,3)="200",MAX(0,ROUNDUP(ROUND(X37*86400-('C tider'!$C$6/200*60),6),0)*0.2),""))))</f>
        <v/>
      </c>
      <c r="Z37" s="15" t="str">
        <f t="shared" si="8"/>
        <v/>
      </c>
      <c r="AA37" s="85"/>
      <c r="AB37" s="15" t="str">
        <f t="shared" si="4"/>
        <v/>
      </c>
      <c r="AC37" s="20" t="str">
        <f t="shared" si="9"/>
        <v/>
      </c>
      <c r="AD37" s="15" t="str">
        <f t="shared" si="6"/>
        <v/>
      </c>
    </row>
    <row r="38" spans="1:30">
      <c r="A38" s="15" t="str">
        <f>IF('Deltager info'!A36="","",'Deltager info'!A36)</f>
        <v/>
      </c>
      <c r="B38" s="15" t="str">
        <f>IF('Deltager info'!B36="","",'Deltager info'!B36)</f>
        <v/>
      </c>
      <c r="C38" s="85"/>
      <c r="D38" s="126"/>
      <c r="E38" s="126"/>
      <c r="F38" s="126"/>
      <c r="G38" s="15" t="str">
        <f t="shared" si="0"/>
        <v/>
      </c>
      <c r="H38" s="126"/>
      <c r="I38" s="15" t="str">
        <f t="shared" si="1"/>
        <v/>
      </c>
      <c r="J38" s="85"/>
      <c r="K38" s="126"/>
      <c r="L38" s="126"/>
      <c r="M38" s="126"/>
      <c r="N38" s="126"/>
      <c r="O38" s="126"/>
      <c r="P38" s="126"/>
      <c r="Q38" s="126"/>
      <c r="R38" s="127"/>
      <c r="S38" s="19" t="str">
        <f>IF(OR(ISBLANK(R38),'Deltager info'!$J36=""),"",IF(R38&lt;INDEX('B tider'!$C$11:$J$11,1,MATCH(VALUE(LEFT('Deltager info'!$J36,FIND(" ",'Deltager info'!$J36&amp;" ")-1)),'B tider'!$C$10:$J$10,0)),ROUNDUP(ROUND((INDEX('B tider'!$C$11:$J$11,1,MATCH(VALUE(LEFT('Deltager info'!$J36,FIND(" ",'Deltager info'!$J36&amp;" ")-1)),'B tider'!$C$10:$J$10,0))-R38)*86400,6),0)*0.2,IF(R38&gt;INDEX('B tider'!$C$13:$J$13,1,MATCH(VALUE(LEFT('Deltager info'!$J36,FIND(" ",'Deltager info'!$J36&amp;" ")-1)),'B tider'!$C$10:$J$10,0)),ROUNDUP(ROUND((R38-INDEX('B tider'!$C$13:$J$13,1,MATCH(VALUE(LEFT('Deltager info'!$J36,FIND(" ",'Deltager info'!$J36&amp;" ")-1)),'B tider'!$C$10:$J$10,0)))*86400,6),0)*0.2,0)))</f>
        <v/>
      </c>
      <c r="T38" s="15" t="str">
        <f t="shared" si="7"/>
        <v/>
      </c>
      <c r="U38" s="85"/>
      <c r="V38" s="126"/>
      <c r="W38" s="126"/>
      <c r="X38" s="129"/>
      <c r="Y38" s="36" t="str">
        <f>IF(ISBLANK(X38),"",IF(LEFT('Deltager info'!$N36,3)="150",MAX(0,ROUNDUP(ROUND(X38*86400-('C tider'!$C$6/150*60),6),0)*0.2),IF(LEFT('Deltager info'!$N36,3)="180",MAX(0,ROUNDUP(ROUND(X38*86400-('C tider'!$C$6/180*60),6),0)*0.2),IF(LEFT('Deltager info'!$N36,3)="200",MAX(0,ROUNDUP(ROUND(X38*86400-('C tider'!$C$6/200*60),6),0)*0.2),""))))</f>
        <v/>
      </c>
      <c r="Z38" s="15" t="str">
        <f t="shared" si="8"/>
        <v/>
      </c>
      <c r="AA38" s="85"/>
      <c r="AB38" s="15" t="str">
        <f t="shared" si="4"/>
        <v/>
      </c>
      <c r="AC38" s="20" t="str">
        <f t="shared" si="9"/>
        <v/>
      </c>
      <c r="AD38" s="15" t="str">
        <f t="shared" si="6"/>
        <v/>
      </c>
    </row>
    <row r="39" spans="1:30">
      <c r="A39" s="15" t="str">
        <f>IF('Deltager info'!A37="","",'Deltager info'!A37)</f>
        <v/>
      </c>
      <c r="B39" s="15" t="str">
        <f>IF('Deltager info'!B37="","",'Deltager info'!B37)</f>
        <v/>
      </c>
      <c r="C39" s="85"/>
      <c r="D39" s="126"/>
      <c r="E39" s="126"/>
      <c r="F39" s="126"/>
      <c r="G39" s="15" t="str">
        <f t="shared" si="0"/>
        <v/>
      </c>
      <c r="H39" s="126"/>
      <c r="I39" s="15" t="str">
        <f t="shared" si="1"/>
        <v/>
      </c>
      <c r="J39" s="85"/>
      <c r="K39" s="126"/>
      <c r="L39" s="126"/>
      <c r="M39" s="126"/>
      <c r="N39" s="126"/>
      <c r="O39" s="126"/>
      <c r="P39" s="126"/>
      <c r="Q39" s="126"/>
      <c r="R39" s="127"/>
      <c r="S39" s="19" t="str">
        <f>IF(OR(ISBLANK(R39),'Deltager info'!$J37=""),"",IF(R39&lt;INDEX('B tider'!$C$11:$J$11,1,MATCH(VALUE(LEFT('Deltager info'!$J37,FIND(" ",'Deltager info'!$J37&amp;" ")-1)),'B tider'!$C$10:$J$10,0)),ROUNDUP(ROUND((INDEX('B tider'!$C$11:$J$11,1,MATCH(VALUE(LEFT('Deltager info'!$J37,FIND(" ",'Deltager info'!$J37&amp;" ")-1)),'B tider'!$C$10:$J$10,0))-R39)*86400,6),0)*0.2,IF(R39&gt;INDEX('B tider'!$C$13:$J$13,1,MATCH(VALUE(LEFT('Deltager info'!$J37,FIND(" ",'Deltager info'!$J37&amp;" ")-1)),'B tider'!$C$10:$J$10,0)),ROUNDUP(ROUND((R39-INDEX('B tider'!$C$13:$J$13,1,MATCH(VALUE(LEFT('Deltager info'!$J37,FIND(" ",'Deltager info'!$J37&amp;" ")-1)),'B tider'!$C$10:$J$10,0)))*86400,6),0)*0.2,0)))</f>
        <v/>
      </c>
      <c r="T39" s="15" t="str">
        <f t="shared" si="7"/>
        <v/>
      </c>
      <c r="U39" s="85"/>
      <c r="V39" s="126"/>
      <c r="W39" s="126"/>
      <c r="X39" s="129"/>
      <c r="Y39" s="36" t="str">
        <f>IF(ISBLANK(X39),"",IF(LEFT('Deltager info'!$N37,3)="150",MAX(0,ROUNDUP(ROUND(X39*86400-('C tider'!$C$6/150*60),6),0)*0.2),IF(LEFT('Deltager info'!$N37,3)="180",MAX(0,ROUNDUP(ROUND(X39*86400-('C tider'!$C$6/180*60),6),0)*0.2),IF(LEFT('Deltager info'!$N37,3)="200",MAX(0,ROUNDUP(ROUND(X39*86400-('C tider'!$C$6/200*60),6),0)*0.2),""))))</f>
        <v/>
      </c>
      <c r="Z39" s="15" t="str">
        <f t="shared" si="8"/>
        <v/>
      </c>
      <c r="AA39" s="85"/>
      <c r="AB39" s="15" t="str">
        <f t="shared" si="4"/>
        <v/>
      </c>
      <c r="AC39" s="20" t="str">
        <f t="shared" si="9"/>
        <v/>
      </c>
      <c r="AD39" s="15" t="str">
        <f t="shared" si="6"/>
        <v/>
      </c>
    </row>
    <row r="40" spans="1:30">
      <c r="A40" s="15" t="str">
        <f>IF('Deltager info'!A38="","",'Deltager info'!A38)</f>
        <v/>
      </c>
      <c r="B40" s="15" t="str">
        <f>IF('Deltager info'!B38="","",'Deltager info'!B38)</f>
        <v/>
      </c>
      <c r="C40" s="85"/>
      <c r="D40" s="126"/>
      <c r="E40" s="126"/>
      <c r="F40" s="126"/>
      <c r="G40" s="15" t="str">
        <f t="shared" si="0"/>
        <v/>
      </c>
      <c r="H40" s="126"/>
      <c r="I40" s="15" t="str">
        <f t="shared" si="1"/>
        <v/>
      </c>
      <c r="J40" s="85"/>
      <c r="K40" s="126"/>
      <c r="L40" s="126"/>
      <c r="M40" s="126"/>
      <c r="N40" s="126"/>
      <c r="O40" s="126"/>
      <c r="P40" s="126"/>
      <c r="Q40" s="126"/>
      <c r="R40" s="127"/>
      <c r="S40" s="19" t="str">
        <f>IF(OR(ISBLANK(R40),'Deltager info'!$J38=""),"",IF(R40&lt;INDEX('B tider'!$C$11:$J$11,1,MATCH(VALUE(LEFT('Deltager info'!$J38,FIND(" ",'Deltager info'!$J38&amp;" ")-1)),'B tider'!$C$10:$J$10,0)),ROUNDUP(ROUND((INDEX('B tider'!$C$11:$J$11,1,MATCH(VALUE(LEFT('Deltager info'!$J38,FIND(" ",'Deltager info'!$J38&amp;" ")-1)),'B tider'!$C$10:$J$10,0))-R40)*86400,6),0)*0.2,IF(R40&gt;INDEX('B tider'!$C$13:$J$13,1,MATCH(VALUE(LEFT('Deltager info'!$J38,FIND(" ",'Deltager info'!$J38&amp;" ")-1)),'B tider'!$C$10:$J$10,0)),ROUNDUP(ROUND((R40-INDEX('B tider'!$C$13:$J$13,1,MATCH(VALUE(LEFT('Deltager info'!$J38,FIND(" ",'Deltager info'!$J38&amp;" ")-1)),'B tider'!$C$10:$J$10,0)))*86400,6),0)*0.2,0)))</f>
        <v/>
      </c>
      <c r="T40" s="15" t="str">
        <f t="shared" si="7"/>
        <v/>
      </c>
      <c r="U40" s="85"/>
      <c r="V40" s="126"/>
      <c r="W40" s="126"/>
      <c r="X40" s="129"/>
      <c r="Y40" s="36" t="str">
        <f>IF(ISBLANK(X40),"",IF(LEFT('Deltager info'!$N38,3)="150",MAX(0,ROUNDUP(ROUND(X40*86400-('C tider'!$C$6/150*60),6),0)*0.2),IF(LEFT('Deltager info'!$N38,3)="180",MAX(0,ROUNDUP(ROUND(X40*86400-('C tider'!$C$6/180*60),6),0)*0.2),IF(LEFT('Deltager info'!$N38,3)="200",MAX(0,ROUNDUP(ROUND(X40*86400-('C tider'!$C$6/200*60),6),0)*0.2),""))))</f>
        <v/>
      </c>
      <c r="Z40" s="15" t="str">
        <f t="shared" si="8"/>
        <v/>
      </c>
      <c r="AA40" s="85"/>
      <c r="AB40" s="15" t="str">
        <f t="shared" si="4"/>
        <v/>
      </c>
      <c r="AC40" s="20" t="str">
        <f t="shared" si="9"/>
        <v/>
      </c>
      <c r="AD40" s="15" t="str">
        <f t="shared" si="6"/>
        <v/>
      </c>
    </row>
    <row r="41" spans="1:30">
      <c r="A41" s="15" t="str">
        <f>IF('Deltager info'!A39="","",'Deltager info'!A39)</f>
        <v/>
      </c>
      <c r="B41" s="15" t="str">
        <f>IF('Deltager info'!B39="","",'Deltager info'!B39)</f>
        <v/>
      </c>
      <c r="C41" s="85"/>
      <c r="D41" s="126"/>
      <c r="E41" s="126"/>
      <c r="F41" s="126"/>
      <c r="G41" s="15" t="str">
        <f t="shared" si="0"/>
        <v/>
      </c>
      <c r="H41" s="126"/>
      <c r="I41" s="15" t="str">
        <f t="shared" si="1"/>
        <v/>
      </c>
      <c r="J41" s="85"/>
      <c r="K41" s="126"/>
      <c r="L41" s="126"/>
      <c r="M41" s="126"/>
      <c r="N41" s="126"/>
      <c r="O41" s="126"/>
      <c r="P41" s="126"/>
      <c r="Q41" s="126"/>
      <c r="R41" s="127"/>
      <c r="S41" s="19" t="str">
        <f>IF(OR(ISBLANK(R41),'Deltager info'!$J39=""),"",IF(R41&lt;INDEX('B tider'!$C$11:$J$11,1,MATCH(VALUE(LEFT('Deltager info'!$J39,FIND(" ",'Deltager info'!$J39&amp;" ")-1)),'B tider'!$C$10:$J$10,0)),ROUNDUP(ROUND((INDEX('B tider'!$C$11:$J$11,1,MATCH(VALUE(LEFT('Deltager info'!$J39,FIND(" ",'Deltager info'!$J39&amp;" ")-1)),'B tider'!$C$10:$J$10,0))-R41)*86400,6),0)*0.2,IF(R41&gt;INDEX('B tider'!$C$13:$J$13,1,MATCH(VALUE(LEFT('Deltager info'!$J39,FIND(" ",'Deltager info'!$J39&amp;" ")-1)),'B tider'!$C$10:$J$10,0)),ROUNDUP(ROUND((R41-INDEX('B tider'!$C$13:$J$13,1,MATCH(VALUE(LEFT('Deltager info'!$J39,FIND(" ",'Deltager info'!$J39&amp;" ")-1)),'B tider'!$C$10:$J$10,0)))*86400,6),0)*0.2,0)))</f>
        <v/>
      </c>
      <c r="T41" s="15" t="str">
        <f t="shared" si="7"/>
        <v/>
      </c>
      <c r="U41" s="85"/>
      <c r="V41" s="126"/>
      <c r="W41" s="126"/>
      <c r="X41" s="129"/>
      <c r="Y41" s="36" t="str">
        <f>IF(ISBLANK(X41),"",IF(LEFT('Deltager info'!$N39,3)="150",MAX(0,ROUNDUP(ROUND(X41*86400-('C tider'!$C$6/150*60),6),0)*0.2),IF(LEFT('Deltager info'!$N39,3)="180",MAX(0,ROUNDUP(ROUND(X41*86400-('C tider'!$C$6/180*60),6),0)*0.2),IF(LEFT('Deltager info'!$N39,3)="200",MAX(0,ROUNDUP(ROUND(X41*86400-('C tider'!$C$6/200*60),6),0)*0.2),""))))</f>
        <v/>
      </c>
      <c r="Z41" s="15" t="str">
        <f t="shared" si="8"/>
        <v/>
      </c>
      <c r="AA41" s="85"/>
      <c r="AB41" s="15" t="str">
        <f t="shared" si="4"/>
        <v/>
      </c>
      <c r="AC41" s="20" t="str">
        <f t="shared" si="9"/>
        <v/>
      </c>
      <c r="AD41" s="15" t="str">
        <f t="shared" si="6"/>
        <v/>
      </c>
    </row>
    <row r="42" spans="1:30">
      <c r="A42" s="15" t="str">
        <f>IF('Deltager info'!A40="","",'Deltager info'!A40)</f>
        <v/>
      </c>
      <c r="B42" s="15" t="str">
        <f>IF('Deltager info'!B40="","",'Deltager info'!B40)</f>
        <v/>
      </c>
      <c r="C42" s="85"/>
      <c r="D42" s="126"/>
      <c r="E42" s="126"/>
      <c r="F42" s="126"/>
      <c r="G42" s="15" t="str">
        <f t="shared" si="0"/>
        <v/>
      </c>
      <c r="H42" s="126"/>
      <c r="I42" s="15" t="str">
        <f t="shared" si="1"/>
        <v/>
      </c>
      <c r="J42" s="85"/>
      <c r="K42" s="126"/>
      <c r="L42" s="126"/>
      <c r="M42" s="126"/>
      <c r="N42" s="126"/>
      <c r="O42" s="126"/>
      <c r="P42" s="126"/>
      <c r="Q42" s="126"/>
      <c r="R42" s="127"/>
      <c r="S42" s="19" t="str">
        <f>IF(OR(ISBLANK(R42),'Deltager info'!$J40=""),"",IF(R42&lt;INDEX('B tider'!$C$11:$J$11,1,MATCH(VALUE(LEFT('Deltager info'!$J40,FIND(" ",'Deltager info'!$J40&amp;" ")-1)),'B tider'!$C$10:$J$10,0)),ROUNDUP(ROUND((INDEX('B tider'!$C$11:$J$11,1,MATCH(VALUE(LEFT('Deltager info'!$J40,FIND(" ",'Deltager info'!$J40&amp;" ")-1)),'B tider'!$C$10:$J$10,0))-R42)*86400,6),0)*0.2,IF(R42&gt;INDEX('B tider'!$C$13:$J$13,1,MATCH(VALUE(LEFT('Deltager info'!$J40,FIND(" ",'Deltager info'!$J40&amp;" ")-1)),'B tider'!$C$10:$J$10,0)),ROUNDUP(ROUND((R42-INDEX('B tider'!$C$13:$J$13,1,MATCH(VALUE(LEFT('Deltager info'!$J40,FIND(" ",'Deltager info'!$J40&amp;" ")-1)),'B tider'!$C$10:$J$10,0)))*86400,6),0)*0.2,0)))</f>
        <v/>
      </c>
      <c r="T42" s="15" t="str">
        <f t="shared" si="7"/>
        <v/>
      </c>
      <c r="U42" s="85"/>
      <c r="V42" s="126"/>
      <c r="W42" s="126"/>
      <c r="X42" s="129"/>
      <c r="Y42" s="36" t="str">
        <f>IF(ISBLANK(X42),"",IF(LEFT('Deltager info'!$N40,3)="150",MAX(0,ROUNDUP(ROUND(X42*86400-('C tider'!$C$6/150*60),6),0)*0.2),IF(LEFT('Deltager info'!$N40,3)="180",MAX(0,ROUNDUP(ROUND(X42*86400-('C tider'!$C$6/180*60),6),0)*0.2),IF(LEFT('Deltager info'!$N40,3)="200",MAX(0,ROUNDUP(ROUND(X42*86400-('C tider'!$C$6/200*60),6),0)*0.2),""))))</f>
        <v/>
      </c>
      <c r="Z42" s="15" t="str">
        <f t="shared" si="8"/>
        <v/>
      </c>
      <c r="AA42" s="85"/>
      <c r="AB42" s="15" t="str">
        <f t="shared" si="4"/>
        <v/>
      </c>
      <c r="AC42" s="20" t="str">
        <f t="shared" si="9"/>
        <v/>
      </c>
      <c r="AD42" s="15" t="str">
        <f t="shared" si="6"/>
        <v/>
      </c>
    </row>
    <row r="43" spans="1:30">
      <c r="A43" s="15" t="str">
        <f>IF('Deltager info'!A41="","",'Deltager info'!A41)</f>
        <v/>
      </c>
      <c r="B43" s="15" t="str">
        <f>IF('Deltager info'!B41="","",'Deltager info'!B41)</f>
        <v/>
      </c>
      <c r="C43" s="85"/>
      <c r="D43" s="126"/>
      <c r="E43" s="126"/>
      <c r="F43" s="126"/>
      <c r="G43" s="15" t="str">
        <f t="shared" si="0"/>
        <v/>
      </c>
      <c r="H43" s="126"/>
      <c r="I43" s="15" t="str">
        <f t="shared" si="1"/>
        <v/>
      </c>
      <c r="J43" s="85"/>
      <c r="K43" s="126"/>
      <c r="L43" s="126"/>
      <c r="M43" s="126"/>
      <c r="N43" s="126"/>
      <c r="O43" s="126"/>
      <c r="P43" s="126"/>
      <c r="Q43" s="126"/>
      <c r="R43" s="127"/>
      <c r="S43" s="19" t="str">
        <f>IF(OR(ISBLANK(R43),'Deltager info'!$J41=""),"",IF(R43&lt;INDEX('B tider'!$C$11:$J$11,1,MATCH(VALUE(LEFT('Deltager info'!$J41,FIND(" ",'Deltager info'!$J41&amp;" ")-1)),'B tider'!$C$10:$J$10,0)),ROUNDUP(ROUND((INDEX('B tider'!$C$11:$J$11,1,MATCH(VALUE(LEFT('Deltager info'!$J41,FIND(" ",'Deltager info'!$J41&amp;" ")-1)),'B tider'!$C$10:$J$10,0))-R43)*86400,6),0)*0.2,IF(R43&gt;INDEX('B tider'!$C$13:$J$13,1,MATCH(VALUE(LEFT('Deltager info'!$J41,FIND(" ",'Deltager info'!$J41&amp;" ")-1)),'B tider'!$C$10:$J$10,0)),ROUNDUP(ROUND((R43-INDEX('B tider'!$C$13:$J$13,1,MATCH(VALUE(LEFT('Deltager info'!$J41,FIND(" ",'Deltager info'!$J41&amp;" ")-1)),'B tider'!$C$10:$J$10,0)))*86400,6),0)*0.2,0)))</f>
        <v/>
      </c>
      <c r="T43" s="15" t="str">
        <f t="shared" si="7"/>
        <v/>
      </c>
      <c r="U43" s="85"/>
      <c r="V43" s="126"/>
      <c r="W43" s="126"/>
      <c r="X43" s="129"/>
      <c r="Y43" s="36" t="str">
        <f>IF(ISBLANK(X43),"",IF(LEFT('Deltager info'!$N41,3)="150",MAX(0,ROUNDUP(ROUND(X43*86400-('C tider'!$C$6/150*60),6),0)*0.2),IF(LEFT('Deltager info'!$N41,3)="180",MAX(0,ROUNDUP(ROUND(X43*86400-('C tider'!$C$6/180*60),6),0)*0.2),IF(LEFT('Deltager info'!$N41,3)="200",MAX(0,ROUNDUP(ROUND(X43*86400-('C tider'!$C$6/200*60),6),0)*0.2),""))))</f>
        <v/>
      </c>
      <c r="Z43" s="15" t="str">
        <f t="shared" si="8"/>
        <v/>
      </c>
      <c r="AA43" s="85"/>
      <c r="AB43" s="15" t="str">
        <f t="shared" si="4"/>
        <v/>
      </c>
      <c r="AC43" s="20" t="str">
        <f t="shared" si="9"/>
        <v/>
      </c>
      <c r="AD43" s="15" t="str">
        <f t="shared" si="6"/>
        <v/>
      </c>
    </row>
    <row r="44" spans="1:30">
      <c r="A44" s="15" t="str">
        <f>IF('Deltager info'!A42="","",'Deltager info'!A42)</f>
        <v/>
      </c>
      <c r="B44" s="15" t="str">
        <f>IF('Deltager info'!B42="","",'Deltager info'!B42)</f>
        <v/>
      </c>
      <c r="C44" s="85"/>
      <c r="D44" s="126"/>
      <c r="E44" s="126"/>
      <c r="F44" s="126"/>
      <c r="G44" s="15" t="str">
        <f t="shared" si="0"/>
        <v/>
      </c>
      <c r="H44" s="126"/>
      <c r="I44" s="15" t="str">
        <f t="shared" si="1"/>
        <v/>
      </c>
      <c r="J44" s="85"/>
      <c r="K44" s="126"/>
      <c r="L44" s="126"/>
      <c r="M44" s="126"/>
      <c r="N44" s="126"/>
      <c r="O44" s="126"/>
      <c r="P44" s="126"/>
      <c r="Q44" s="126"/>
      <c r="R44" s="127"/>
      <c r="S44" s="19" t="str">
        <f>IF(OR(ISBLANK(R44),'Deltager info'!$J42=""),"",IF(R44&lt;INDEX('B tider'!$C$11:$J$11,1,MATCH(VALUE(LEFT('Deltager info'!$J42,FIND(" ",'Deltager info'!$J42&amp;" ")-1)),'B tider'!$C$10:$J$10,0)),ROUNDUP(ROUND((INDEX('B tider'!$C$11:$J$11,1,MATCH(VALUE(LEFT('Deltager info'!$J42,FIND(" ",'Deltager info'!$J42&amp;" ")-1)),'B tider'!$C$10:$J$10,0))-R44)*86400,6),0)*0.2,IF(R44&gt;INDEX('B tider'!$C$13:$J$13,1,MATCH(VALUE(LEFT('Deltager info'!$J42,FIND(" ",'Deltager info'!$J42&amp;" ")-1)),'B tider'!$C$10:$J$10,0)),ROUNDUP(ROUND((R44-INDEX('B tider'!$C$13:$J$13,1,MATCH(VALUE(LEFT('Deltager info'!$J42,FIND(" ",'Deltager info'!$J42&amp;" ")-1)),'B tider'!$C$10:$J$10,0)))*86400,6),0)*0.2,0)))</f>
        <v/>
      </c>
      <c r="T44" s="15" t="str">
        <f t="shared" si="7"/>
        <v/>
      </c>
      <c r="U44" s="85"/>
      <c r="V44" s="126"/>
      <c r="W44" s="126"/>
      <c r="X44" s="129"/>
      <c r="Y44" s="36" t="str">
        <f>IF(ISBLANK(X44),"",IF(LEFT('Deltager info'!$N42,3)="150",MAX(0,ROUNDUP(ROUND(X44*86400-('C tider'!$C$6/150*60),6),0)*0.2),IF(LEFT('Deltager info'!$N42,3)="180",MAX(0,ROUNDUP(ROUND(X44*86400-('C tider'!$C$6/180*60),6),0)*0.2),IF(LEFT('Deltager info'!$N42,3)="200",MAX(0,ROUNDUP(ROUND(X44*86400-('C tider'!$C$6/200*60),6),0)*0.2),""))))</f>
        <v/>
      </c>
      <c r="Z44" s="15" t="str">
        <f t="shared" si="8"/>
        <v/>
      </c>
      <c r="AA44" s="85"/>
      <c r="AB44" s="15" t="str">
        <f t="shared" si="4"/>
        <v/>
      </c>
      <c r="AC44" s="20" t="str">
        <f t="shared" si="9"/>
        <v/>
      </c>
      <c r="AD44" s="15" t="str">
        <f t="shared" si="6"/>
        <v/>
      </c>
    </row>
    <row r="45" spans="1:30">
      <c r="A45" s="15" t="str">
        <f>IF('Deltager info'!A43="","",'Deltager info'!A43)</f>
        <v/>
      </c>
      <c r="B45" s="15" t="str">
        <f>IF('Deltager info'!B43="","",'Deltager info'!B43)</f>
        <v/>
      </c>
      <c r="C45" s="85"/>
      <c r="D45" s="126"/>
      <c r="E45" s="126"/>
      <c r="F45" s="126"/>
      <c r="G45" s="15" t="str">
        <f t="shared" si="0"/>
        <v/>
      </c>
      <c r="H45" s="126"/>
      <c r="I45" s="15" t="str">
        <f t="shared" si="1"/>
        <v/>
      </c>
      <c r="J45" s="85"/>
      <c r="K45" s="126"/>
      <c r="L45" s="126"/>
      <c r="M45" s="126"/>
      <c r="N45" s="126"/>
      <c r="O45" s="126"/>
      <c r="P45" s="126"/>
      <c r="Q45" s="126"/>
      <c r="R45" s="127"/>
      <c r="S45" s="19" t="str">
        <f>IF(OR(ISBLANK(R45),'Deltager info'!$J43=""),"",IF(R45&lt;INDEX('B tider'!$C$11:$J$11,1,MATCH(VALUE(LEFT('Deltager info'!$J43,FIND(" ",'Deltager info'!$J43&amp;" ")-1)),'B tider'!$C$10:$J$10,0)),ROUNDUP(ROUND((INDEX('B tider'!$C$11:$J$11,1,MATCH(VALUE(LEFT('Deltager info'!$J43,FIND(" ",'Deltager info'!$J43&amp;" ")-1)),'B tider'!$C$10:$J$10,0))-R45)*86400,6),0)*0.2,IF(R45&gt;INDEX('B tider'!$C$13:$J$13,1,MATCH(VALUE(LEFT('Deltager info'!$J43,FIND(" ",'Deltager info'!$J43&amp;" ")-1)),'B tider'!$C$10:$J$10,0)),ROUNDUP(ROUND((R45-INDEX('B tider'!$C$13:$J$13,1,MATCH(VALUE(LEFT('Deltager info'!$J43,FIND(" ",'Deltager info'!$J43&amp;" ")-1)),'B tider'!$C$10:$J$10,0)))*86400,6),0)*0.2,0)))</f>
        <v/>
      </c>
      <c r="T45" s="15" t="str">
        <f t="shared" si="7"/>
        <v/>
      </c>
      <c r="U45" s="85"/>
      <c r="V45" s="126"/>
      <c r="W45" s="126"/>
      <c r="X45" s="129"/>
      <c r="Y45" s="36" t="str">
        <f>IF(ISBLANK(X45),"",IF(LEFT('Deltager info'!$N43,3)="150",MAX(0,ROUNDUP(ROUND(X45*86400-('C tider'!$C$6/150*60),6),0)*0.2),IF(LEFT('Deltager info'!$N43,3)="180",MAX(0,ROUNDUP(ROUND(X45*86400-('C tider'!$C$6/180*60),6),0)*0.2),IF(LEFT('Deltager info'!$N43,3)="200",MAX(0,ROUNDUP(ROUND(X45*86400-('C tider'!$C$6/200*60),6),0)*0.2),""))))</f>
        <v/>
      </c>
      <c r="Z45" s="15" t="str">
        <f t="shared" si="8"/>
        <v/>
      </c>
      <c r="AA45" s="85"/>
      <c r="AB45" s="15" t="str">
        <f t="shared" si="4"/>
        <v/>
      </c>
      <c r="AC45" s="20" t="str">
        <f t="shared" si="9"/>
        <v/>
      </c>
      <c r="AD45" s="15" t="str">
        <f t="shared" si="6"/>
        <v/>
      </c>
    </row>
    <row r="46" spans="1:30">
      <c r="A46" s="15" t="str">
        <f>IF('Deltager info'!A44="","",'Deltager info'!A44)</f>
        <v/>
      </c>
      <c r="B46" s="15" t="str">
        <f>IF('Deltager info'!B44="","",'Deltager info'!B44)</f>
        <v/>
      </c>
      <c r="C46" s="85"/>
      <c r="D46" s="126"/>
      <c r="E46" s="126"/>
      <c r="F46" s="126"/>
      <c r="G46" s="15" t="str">
        <f t="shared" si="0"/>
        <v/>
      </c>
      <c r="H46" s="126"/>
      <c r="I46" s="15" t="str">
        <f t="shared" si="1"/>
        <v/>
      </c>
      <c r="J46" s="85"/>
      <c r="K46" s="126"/>
      <c r="L46" s="126"/>
      <c r="M46" s="126"/>
      <c r="N46" s="126"/>
      <c r="O46" s="126"/>
      <c r="P46" s="126"/>
      <c r="Q46" s="126"/>
      <c r="R46" s="127"/>
      <c r="S46" s="19" t="str">
        <f>IF(OR(ISBLANK(R46),'Deltager info'!$J44=""),"",IF(R46&lt;INDEX('B tider'!$C$11:$J$11,1,MATCH(VALUE(LEFT('Deltager info'!$J44,FIND(" ",'Deltager info'!$J44&amp;" ")-1)),'B tider'!$C$10:$J$10,0)),ROUNDUP(ROUND((INDEX('B tider'!$C$11:$J$11,1,MATCH(VALUE(LEFT('Deltager info'!$J44,FIND(" ",'Deltager info'!$J44&amp;" ")-1)),'B tider'!$C$10:$J$10,0))-R46)*86400,6),0)*0.2,IF(R46&gt;INDEX('B tider'!$C$13:$J$13,1,MATCH(VALUE(LEFT('Deltager info'!$J44,FIND(" ",'Deltager info'!$J44&amp;" ")-1)),'B tider'!$C$10:$J$10,0)),ROUNDUP(ROUND((R46-INDEX('B tider'!$C$13:$J$13,1,MATCH(VALUE(LEFT('Deltager info'!$J44,FIND(" ",'Deltager info'!$J44&amp;" ")-1)),'B tider'!$C$10:$J$10,0)))*86400,6),0)*0.2,0)))</f>
        <v/>
      </c>
      <c r="T46" s="15" t="str">
        <f t="shared" si="7"/>
        <v/>
      </c>
      <c r="U46" s="85"/>
      <c r="V46" s="126"/>
      <c r="W46" s="126"/>
      <c r="X46" s="129"/>
      <c r="Y46" s="36" t="str">
        <f>IF(ISBLANK(X46),"",IF(LEFT('Deltager info'!$N44,3)="150",MAX(0,ROUNDUP(ROUND(X46*86400-('C tider'!$C$6/150*60),6),0)*0.2),IF(LEFT('Deltager info'!$N44,3)="180",MAX(0,ROUNDUP(ROUND(X46*86400-('C tider'!$C$6/180*60),6),0)*0.2),IF(LEFT('Deltager info'!$N44,3)="200",MAX(0,ROUNDUP(ROUND(X46*86400-('C tider'!$C$6/200*60),6),0)*0.2),""))))</f>
        <v/>
      </c>
      <c r="Z46" s="15" t="str">
        <f t="shared" si="8"/>
        <v/>
      </c>
      <c r="AA46" s="85"/>
      <c r="AB46" s="15" t="str">
        <f t="shared" si="4"/>
        <v/>
      </c>
      <c r="AC46" s="20" t="str">
        <f t="shared" si="9"/>
        <v/>
      </c>
      <c r="AD46" s="15" t="str">
        <f t="shared" si="6"/>
        <v/>
      </c>
    </row>
    <row r="47" spans="1:30">
      <c r="A47" s="15" t="str">
        <f>IF('Deltager info'!A45="","",'Deltager info'!A45)</f>
        <v/>
      </c>
      <c r="B47" s="15" t="str">
        <f>IF('Deltager info'!B45="","",'Deltager info'!B45)</f>
        <v/>
      </c>
      <c r="C47" s="85"/>
      <c r="D47" s="126"/>
      <c r="E47" s="126"/>
      <c r="F47" s="126"/>
      <c r="G47" s="15" t="str">
        <f t="shared" si="0"/>
        <v/>
      </c>
      <c r="H47" s="126"/>
      <c r="I47" s="15" t="str">
        <f t="shared" si="1"/>
        <v/>
      </c>
      <c r="J47" s="85"/>
      <c r="K47" s="126"/>
      <c r="L47" s="126"/>
      <c r="M47" s="126"/>
      <c r="N47" s="126"/>
      <c r="O47" s="126"/>
      <c r="P47" s="126"/>
      <c r="Q47" s="126"/>
      <c r="R47" s="127"/>
      <c r="S47" s="19" t="str">
        <f>IF(OR(ISBLANK(R47),'Deltager info'!$J45=""),"",IF(R47&lt;INDEX('B tider'!$C$11:$J$11,1,MATCH(VALUE(LEFT('Deltager info'!$J45,FIND(" ",'Deltager info'!$J45&amp;" ")-1)),'B tider'!$C$10:$J$10,0)),ROUNDUP(ROUND((INDEX('B tider'!$C$11:$J$11,1,MATCH(VALUE(LEFT('Deltager info'!$J45,FIND(" ",'Deltager info'!$J45&amp;" ")-1)),'B tider'!$C$10:$J$10,0))-R47)*86400,6),0)*0.2,IF(R47&gt;INDEX('B tider'!$C$13:$J$13,1,MATCH(VALUE(LEFT('Deltager info'!$J45,FIND(" ",'Deltager info'!$J45&amp;" ")-1)),'B tider'!$C$10:$J$10,0)),ROUNDUP(ROUND((R47-INDEX('B tider'!$C$13:$J$13,1,MATCH(VALUE(LEFT('Deltager info'!$J45,FIND(" ",'Deltager info'!$J45&amp;" ")-1)),'B tider'!$C$10:$J$10,0)))*86400,6),0)*0.2,0)))</f>
        <v/>
      </c>
      <c r="T47" s="15" t="str">
        <f t="shared" si="7"/>
        <v/>
      </c>
      <c r="U47" s="85"/>
      <c r="V47" s="126"/>
      <c r="W47" s="126"/>
      <c r="X47" s="129"/>
      <c r="Y47" s="36" t="str">
        <f>IF(ISBLANK(X47),"",IF(LEFT('Deltager info'!$N45,3)="150",MAX(0,ROUNDUP(ROUND(X47*86400-('C tider'!$C$6/150*60),6),0)*0.2),IF(LEFT('Deltager info'!$N45,3)="180",MAX(0,ROUNDUP(ROUND(X47*86400-('C tider'!$C$6/180*60),6),0)*0.2),IF(LEFT('Deltager info'!$N45,3)="200",MAX(0,ROUNDUP(ROUND(X47*86400-('C tider'!$C$6/200*60),6),0)*0.2),""))))</f>
        <v/>
      </c>
      <c r="Z47" s="15" t="str">
        <f t="shared" si="8"/>
        <v/>
      </c>
      <c r="AA47" s="85"/>
      <c r="AB47" s="15" t="str">
        <f t="shared" si="4"/>
        <v/>
      </c>
      <c r="AC47" s="20" t="str">
        <f t="shared" si="9"/>
        <v/>
      </c>
      <c r="AD47" s="15" t="str">
        <f t="shared" si="6"/>
        <v/>
      </c>
    </row>
    <row r="48" spans="1:30">
      <c r="A48" s="15" t="str">
        <f>IF('Deltager info'!A46="","",'Deltager info'!A46)</f>
        <v/>
      </c>
      <c r="B48" s="15" t="str">
        <f>IF('Deltager info'!B46="","",'Deltager info'!B46)</f>
        <v/>
      </c>
      <c r="C48" s="85"/>
      <c r="D48" s="126"/>
      <c r="E48" s="126"/>
      <c r="F48" s="126"/>
      <c r="G48" s="15" t="str">
        <f t="shared" si="0"/>
        <v/>
      </c>
      <c r="H48" s="126"/>
      <c r="I48" s="15" t="str">
        <f t="shared" si="1"/>
        <v/>
      </c>
      <c r="J48" s="85"/>
      <c r="K48" s="126"/>
      <c r="L48" s="126"/>
      <c r="M48" s="126"/>
      <c r="N48" s="126"/>
      <c r="O48" s="126"/>
      <c r="P48" s="126"/>
      <c r="Q48" s="126"/>
      <c r="R48" s="127"/>
      <c r="S48" s="19" t="str">
        <f>IF(OR(ISBLANK(R48),'Deltager info'!$J46=""),"",IF(R48&lt;INDEX('B tider'!$C$11:$J$11,1,MATCH(VALUE(LEFT('Deltager info'!$J46,FIND(" ",'Deltager info'!$J46&amp;" ")-1)),'B tider'!$C$10:$J$10,0)),ROUNDUP(ROUND((INDEX('B tider'!$C$11:$J$11,1,MATCH(VALUE(LEFT('Deltager info'!$J46,FIND(" ",'Deltager info'!$J46&amp;" ")-1)),'B tider'!$C$10:$J$10,0))-R48)*86400,6),0)*0.2,IF(R48&gt;INDEX('B tider'!$C$13:$J$13,1,MATCH(VALUE(LEFT('Deltager info'!$J46,FIND(" ",'Deltager info'!$J46&amp;" ")-1)),'B tider'!$C$10:$J$10,0)),ROUNDUP(ROUND((R48-INDEX('B tider'!$C$13:$J$13,1,MATCH(VALUE(LEFT('Deltager info'!$J46,FIND(" ",'Deltager info'!$J46&amp;" ")-1)),'B tider'!$C$10:$J$10,0)))*86400,6),0)*0.2,0)))</f>
        <v/>
      </c>
      <c r="T48" s="15" t="str">
        <f t="shared" si="7"/>
        <v/>
      </c>
      <c r="U48" s="85"/>
      <c r="V48" s="126"/>
      <c r="W48" s="126"/>
      <c r="X48" s="129"/>
      <c r="Y48" s="36" t="str">
        <f>IF(ISBLANK(X48),"",IF(LEFT('Deltager info'!$N46,3)="150",MAX(0,ROUNDUP(ROUND(X48*86400-('C tider'!$C$6/150*60),6),0)*0.2),IF(LEFT('Deltager info'!$N46,3)="180",MAX(0,ROUNDUP(ROUND(X48*86400-('C tider'!$C$6/180*60),6),0)*0.2),IF(LEFT('Deltager info'!$N46,3)="200",MAX(0,ROUNDUP(ROUND(X48*86400-('C tider'!$C$6/200*60),6),0)*0.2),""))))</f>
        <v/>
      </c>
      <c r="Z48" s="15" t="str">
        <f t="shared" si="8"/>
        <v/>
      </c>
      <c r="AA48" s="85"/>
      <c r="AB48" s="15" t="str">
        <f t="shared" si="4"/>
        <v/>
      </c>
      <c r="AC48" s="20" t="str">
        <f t="shared" si="9"/>
        <v/>
      </c>
      <c r="AD48" s="15" t="str">
        <f t="shared" si="6"/>
        <v/>
      </c>
    </row>
  </sheetData>
  <mergeCells count="27">
    <mergeCell ref="V4:V6"/>
    <mergeCell ref="D4:D6"/>
    <mergeCell ref="AC4:AC6"/>
    <mergeCell ref="L4:L6"/>
    <mergeCell ref="X4:X6"/>
    <mergeCell ref="I4:I6"/>
    <mergeCell ref="G4:G6"/>
    <mergeCell ref="Z4:Z6"/>
    <mergeCell ref="K4:K6"/>
    <mergeCell ref="O4:O6"/>
    <mergeCell ref="Q4:Q6"/>
    <mergeCell ref="A1:F1"/>
    <mergeCell ref="A4:A6"/>
    <mergeCell ref="AD4:AD6"/>
    <mergeCell ref="M4:M6"/>
    <mergeCell ref="S4:S6"/>
    <mergeCell ref="B4:B6"/>
    <mergeCell ref="W4:W6"/>
    <mergeCell ref="F4:F6"/>
    <mergeCell ref="Y4:Y6"/>
    <mergeCell ref="N4:N6"/>
    <mergeCell ref="H4:H6"/>
    <mergeCell ref="P4:P6"/>
    <mergeCell ref="R4:R6"/>
    <mergeCell ref="T4:T6"/>
    <mergeCell ref="AB4:AB6"/>
    <mergeCell ref="E4:E6"/>
  </mergeCells>
  <conditionalFormatting sqref="A1:AD48">
    <cfRule type="expression" dxfId="1" priority="1">
      <formula>ISERROR(A1)</formula>
    </cfRule>
  </conditionalFormatting>
  <pageMargins left="0.35433070866141736" right="0.35433070866141736" top="0.55118110236220474" bottom="0.55118110236220474" header="0.23622047244094491" footer="0.23622047244094491"/>
  <pageSetup paperSize="9" fitToHeight="0" orientation="landscape" r:id="rId1"/>
  <headerFooter>
    <oddHeader>&amp;CResultatberegning</oddHeader>
    <oddFooter>&amp;LArrangør dokument v 5.0 Classic&amp;C&amp;D&amp;RSide &amp;P af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9"/>
  <sheetViews>
    <sheetView showGridLines="0" workbookViewId="0">
      <selection activeCell="C14" sqref="C14"/>
    </sheetView>
  </sheetViews>
  <sheetFormatPr defaultRowHeight="14.5"/>
  <cols>
    <col min="1" max="1" width="5.7265625" style="21" customWidth="1"/>
    <col min="2" max="2" width="26.1796875" style="21" customWidth="1"/>
    <col min="3" max="3" width="9.26953125" style="21" customWidth="1"/>
    <col min="4" max="7" width="12.36328125" style="21" customWidth="1"/>
    <col min="8" max="8" width="5.7265625" style="21" customWidth="1"/>
    <col min="9" max="10" width="3" style="21" customWidth="1"/>
    <col min="11" max="11" width="10.81640625" style="21" hidden="1" customWidth="1"/>
    <col min="12" max="12" width="9.7265625" style="21" hidden="1" customWidth="1"/>
    <col min="13" max="14" width="8.7265625" style="21" customWidth="1"/>
    <col min="15" max="16384" width="8.7265625" style="21"/>
  </cols>
  <sheetData>
    <row r="1" spans="1:21" s="22" customFormat="1" ht="18.5" customHeight="1">
      <c r="A1" s="159" t="s">
        <v>27</v>
      </c>
      <c r="B1" s="149"/>
      <c r="C1" s="149"/>
      <c r="D1" s="149"/>
      <c r="E1" s="149"/>
      <c r="F1" s="149"/>
      <c r="G1" s="149"/>
      <c r="H1" s="14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22" customFormat="1" ht="18.5" customHeight="1">
      <c r="A2" s="149"/>
      <c r="B2" s="149"/>
      <c r="C2" s="149"/>
      <c r="D2" s="149"/>
      <c r="E2" s="149"/>
      <c r="F2" s="149"/>
      <c r="G2" s="149"/>
      <c r="H2" s="14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4" customHeight="1">
      <c r="A3" s="161" t="s">
        <v>75</v>
      </c>
      <c r="B3" s="149"/>
      <c r="C3" s="149"/>
      <c r="D3" s="149"/>
      <c r="E3" s="149"/>
      <c r="F3" s="149"/>
      <c r="G3" s="149"/>
      <c r="H3" s="149"/>
    </row>
    <row r="5" spans="1:21">
      <c r="A5" s="190" t="s">
        <v>29</v>
      </c>
      <c r="B5" s="189" t="s">
        <v>7</v>
      </c>
      <c r="C5" s="190" t="s">
        <v>8</v>
      </c>
      <c r="D5" s="190" t="s">
        <v>76</v>
      </c>
      <c r="E5" s="190" t="s">
        <v>77</v>
      </c>
      <c r="F5" s="190" t="s">
        <v>78</v>
      </c>
      <c r="G5" s="190" t="s">
        <v>79</v>
      </c>
      <c r="H5" s="190" t="s">
        <v>80</v>
      </c>
    </row>
    <row r="6" spans="1:21">
      <c r="A6" s="149"/>
      <c r="B6" s="149"/>
      <c r="C6" s="149"/>
      <c r="D6" s="149"/>
      <c r="E6" s="149"/>
      <c r="F6" s="149"/>
      <c r="G6" s="149"/>
      <c r="H6" s="149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</row>
    <row r="7" spans="1:21">
      <c r="A7" s="92" t="s">
        <v>81</v>
      </c>
      <c r="B7" s="93"/>
      <c r="C7" s="24" t="str">
        <f>'Deltager info'!A5</f>
        <v>Vogne før 1945</v>
      </c>
      <c r="D7" s="93"/>
      <c r="E7" s="93"/>
      <c r="F7" s="93"/>
      <c r="G7" s="93"/>
      <c r="H7" s="93"/>
      <c r="I7" s="66"/>
      <c r="J7" s="66"/>
      <c r="K7" s="94" t="s">
        <v>82</v>
      </c>
      <c r="L7" s="94" t="s">
        <v>83</v>
      </c>
      <c r="M7" s="66"/>
      <c r="N7" s="66"/>
      <c r="O7" s="66"/>
      <c r="P7" s="66"/>
      <c r="Q7" s="66"/>
      <c r="R7" s="66"/>
      <c r="S7" s="66"/>
      <c r="T7" s="66"/>
      <c r="U7" s="66"/>
    </row>
    <row r="8" spans="1:21">
      <c r="A8" s="25" t="str">
        <f>IFERROR(IF($L8="","",INDEX(Resultatberegning!$A$8:$A$27,$L8-7)),"")</f>
        <v/>
      </c>
      <c r="B8" s="26" t="str">
        <f>IFERROR(IF($L8="","",INDEX(Resultatberegning!$B$8:$B$27,$L8-7)),"")</f>
        <v/>
      </c>
      <c r="C8" s="26" t="str">
        <f>IFERROR(IF($L8="","",INDEX('Deltager info'!$C$6:$C$25,$L8-7)),"")</f>
        <v/>
      </c>
      <c r="D8" s="27" t="str">
        <f>IFERROR(IF($L8="","",INDEX(Resultatberegning!$I$8:$I$27,$L8-7)),"")</f>
        <v/>
      </c>
      <c r="E8" s="27" t="str">
        <f>IFERROR(IF($L8="","",INDEX(Resultatberegning!$T$8:$T$27,$L8-7)),"")</f>
        <v/>
      </c>
      <c r="F8" s="27" t="str">
        <f>IFERROR(IF($L8="","",INDEX(Resultatberegning!$Z$8:$Z$27,$L8-7)),"")</f>
        <v/>
      </c>
      <c r="G8" s="27" t="str">
        <f>IFERROR(IF($L8="","",INDEX(Resultatberegning!$AB$8:$AB$27,$L8-7)),"")</f>
        <v/>
      </c>
      <c r="H8" s="25" t="str">
        <f>IFERROR(IF($L8="","",1+COUNTIF(Resultatberegning!$AB$8:$AB$27,"&lt;"&amp;INDEX(Resultatberegning!$AB$8:$AB$27,$L8-7))),"")</f>
        <v/>
      </c>
      <c r="I8" s="66"/>
      <c r="J8" s="66"/>
      <c r="K8" s="21" t="str">
        <f>IFERROR(IF(Resultatberegning!$AB8="","",Resultatberegning!$AB8+ROW(Resultatberegning!$AB8)/1000000),"")</f>
        <v/>
      </c>
      <c r="L8" s="21" t="str">
        <f>IFERROR(MATCH(SMALL($K$8:$K$27,1),$K$8:$K$27,0)+7,"")</f>
        <v/>
      </c>
      <c r="M8" s="66"/>
      <c r="N8" s="66"/>
      <c r="O8" s="66"/>
      <c r="P8" s="66"/>
      <c r="Q8" s="66"/>
      <c r="R8" s="66"/>
      <c r="S8" s="66"/>
      <c r="T8" s="66"/>
      <c r="U8" s="66"/>
    </row>
    <row r="9" spans="1:21">
      <c r="A9" s="25" t="str">
        <f>IFERROR(IF($L9="","",INDEX(Resultatberegning!$A$8:$A$27,$L9-7)),"")</f>
        <v/>
      </c>
      <c r="B9" s="26" t="str">
        <f>IFERROR(IF($L9="","",INDEX(Resultatberegning!$B$8:$B$27,$L9-7)),"")</f>
        <v/>
      </c>
      <c r="C9" s="26" t="str">
        <f>IFERROR(IF($L9="","",INDEX('Deltager info'!$C$6:$C$25,$L9-7)),"")</f>
        <v/>
      </c>
      <c r="D9" s="27" t="str">
        <f>IFERROR(IF($L9="","",INDEX(Resultatberegning!$I$8:$I$27,$L9-7)),"")</f>
        <v/>
      </c>
      <c r="E9" s="27" t="str">
        <f>IFERROR(IF($L9="","",INDEX(Resultatberegning!$T$8:$T$27,$L9-7)),"")</f>
        <v/>
      </c>
      <c r="F9" s="27" t="str">
        <f>IFERROR(IF($L9="","",INDEX(Resultatberegning!$Z$8:$Z$27,$L9-7)),"")</f>
        <v/>
      </c>
      <c r="G9" s="27" t="str">
        <f>IFERROR(IF($L9="","",INDEX(Resultatberegning!$AB$8:$AB$27,$L9-7)),"")</f>
        <v/>
      </c>
      <c r="H9" s="25" t="str">
        <f>IFERROR(IF($L9="","",1+COUNTIF(Resultatberegning!$AB$8:$AB$27,"&lt;"&amp;INDEX(Resultatberegning!$AB$8:$AB$27,$L9-7))),"")</f>
        <v/>
      </c>
      <c r="I9" s="66"/>
      <c r="J9" s="66"/>
      <c r="K9" s="21" t="str">
        <f>IFERROR(IF(Resultatberegning!$AB9="","",Resultatberegning!$AB9+ROW(Resultatberegning!$AB9)/1000000),"")</f>
        <v/>
      </c>
      <c r="L9" s="21" t="str">
        <f>IFERROR(MATCH(SMALL($K$8:$K$27,2),$K$8:$K$27,0)+7,"")</f>
        <v/>
      </c>
      <c r="M9" s="66"/>
      <c r="N9" s="66"/>
      <c r="O9" s="66"/>
      <c r="P9" s="66"/>
      <c r="Q9" s="66"/>
      <c r="R9" s="66"/>
      <c r="S9" s="66"/>
      <c r="T9" s="66"/>
      <c r="U9" s="66"/>
    </row>
    <row r="10" spans="1:21">
      <c r="A10" s="25" t="str">
        <f>IFERROR(IF($L10="","",INDEX(Resultatberegning!$A$8:$A$27,$L10-7)),"")</f>
        <v/>
      </c>
      <c r="B10" s="26" t="str">
        <f>IFERROR(IF($L10="","",INDEX(Resultatberegning!$B$8:$B$27,$L10-7)),"")</f>
        <v/>
      </c>
      <c r="C10" s="26" t="str">
        <f>IFERROR(IF($L10="","",INDEX('Deltager info'!$C$6:$C$25,$L10-7)),"")</f>
        <v/>
      </c>
      <c r="D10" s="27" t="str">
        <f>IFERROR(IF($L10="","",INDEX(Resultatberegning!$I$8:$I$27,$L10-7)),"")</f>
        <v/>
      </c>
      <c r="E10" s="27" t="str">
        <f>IFERROR(IF($L10="","",INDEX(Resultatberegning!$T$8:$T$27,$L10-7)),"")</f>
        <v/>
      </c>
      <c r="F10" s="27" t="str">
        <f>IFERROR(IF($L10="","",INDEX(Resultatberegning!$Z$8:$Z$27,$L10-7)),"")</f>
        <v/>
      </c>
      <c r="G10" s="27" t="str">
        <f>IFERROR(IF($L10="","",INDEX(Resultatberegning!$AB$8:$AB$27,$L10-7)),"")</f>
        <v/>
      </c>
      <c r="H10" s="25" t="str">
        <f>IFERROR(IF($L10="","",1+COUNTIF(Resultatberegning!$AB$8:$AB$27,"&lt;"&amp;INDEX(Resultatberegning!$AB$8:$AB$27,$L10-7))),"")</f>
        <v/>
      </c>
      <c r="I10" s="66"/>
      <c r="J10" s="66"/>
      <c r="K10" s="21" t="str">
        <f>IFERROR(IF(Resultatberegning!$AB10="","",Resultatberegning!$AB10+ROW(Resultatberegning!$AB10)/1000000),"")</f>
        <v/>
      </c>
      <c r="L10" s="21" t="str">
        <f>IFERROR(MATCH(SMALL($K$8:$K$27,3),$K$8:$K$27,0)+7,"")</f>
        <v/>
      </c>
      <c r="M10" s="66"/>
      <c r="N10" s="66"/>
      <c r="O10" s="66"/>
      <c r="P10" s="66"/>
      <c r="Q10" s="66"/>
      <c r="R10" s="66"/>
      <c r="S10" s="66"/>
      <c r="T10" s="66"/>
      <c r="U10" s="66"/>
    </row>
    <row r="11" spans="1:21">
      <c r="A11" s="25" t="str">
        <f>IFERROR(IF($L11="","",INDEX(Resultatberegning!$A$8:$A$27,$L11-7)),"")</f>
        <v/>
      </c>
      <c r="B11" s="26" t="str">
        <f>IFERROR(IF($L11="","",INDEX(Resultatberegning!$B$8:$B$27,$L11-7)),"")</f>
        <v/>
      </c>
      <c r="C11" s="26" t="str">
        <f>IFERROR(IF($L11="","",INDEX('Deltager info'!$C$6:$C$25,$L11-7)),"")</f>
        <v/>
      </c>
      <c r="D11" s="27" t="str">
        <f>IFERROR(IF($L11="","",INDEX(Resultatberegning!$I$8:$I$27,$L11-7)),"")</f>
        <v/>
      </c>
      <c r="E11" s="27" t="str">
        <f>IFERROR(IF($L11="","",INDEX(Resultatberegning!$T$8:$T$27,$L11-7)),"")</f>
        <v/>
      </c>
      <c r="F11" s="27" t="str">
        <f>IFERROR(IF($L11="","",INDEX(Resultatberegning!$Z$8:$Z$27,$L11-7)),"")</f>
        <v/>
      </c>
      <c r="G11" s="27" t="str">
        <f>IFERROR(IF($L11="","",INDEX(Resultatberegning!$AB$8:$AB$27,$L11-7)),"")</f>
        <v/>
      </c>
      <c r="H11" s="25" t="str">
        <f>IFERROR(IF($L11="","",1+COUNTIF(Resultatberegning!$AB$8:$AB$27,"&lt;"&amp;INDEX(Resultatberegning!$AB$8:$AB$27,$L11-7))),"")</f>
        <v/>
      </c>
      <c r="I11" s="66"/>
      <c r="J11" s="66"/>
      <c r="K11" s="21" t="str">
        <f>IFERROR(IF(Resultatberegning!$AB11="","",Resultatberegning!$AB11+ROW(Resultatberegning!$AB11)/1000000),"")</f>
        <v/>
      </c>
      <c r="L11" s="21" t="str">
        <f>IFERROR(MATCH(SMALL($K$8:$K$27,4),$K$8:$K$27,0)+7,"")</f>
        <v/>
      </c>
      <c r="M11" s="66"/>
      <c r="N11" s="66"/>
      <c r="O11" s="66"/>
      <c r="P11" s="66"/>
      <c r="Q11" s="66"/>
      <c r="R11" s="66"/>
      <c r="S11" s="66"/>
      <c r="T11" s="66"/>
      <c r="U11" s="66"/>
    </row>
    <row r="12" spans="1:21">
      <c r="A12" s="25" t="str">
        <f>IFERROR(IF($L12="","",INDEX(Resultatberegning!$A$8:$A$27,$L12-7)),"")</f>
        <v/>
      </c>
      <c r="B12" s="26" t="str">
        <f>IFERROR(IF($L12="","",INDEX(Resultatberegning!$B$8:$B$27,$L12-7)),"")</f>
        <v/>
      </c>
      <c r="C12" s="26" t="str">
        <f>IFERROR(IF($L12="","",INDEX('Deltager info'!$C$6:$C$25,$L12-7)),"")</f>
        <v/>
      </c>
      <c r="D12" s="27" t="str">
        <f>IFERROR(IF($L12="","",INDEX(Resultatberegning!$I$8:$I$27,$L12-7)),"")</f>
        <v/>
      </c>
      <c r="E12" s="27" t="str">
        <f>IFERROR(IF($L12="","",INDEX(Resultatberegning!$T$8:$T$27,$L12-7)),"")</f>
        <v/>
      </c>
      <c r="F12" s="27" t="str">
        <f>IFERROR(IF($L12="","",INDEX(Resultatberegning!$Z$8:$Z$27,$L12-7)),"")</f>
        <v/>
      </c>
      <c r="G12" s="27" t="str">
        <f>IFERROR(IF($L12="","",INDEX(Resultatberegning!$AB$8:$AB$27,$L12-7)),"")</f>
        <v/>
      </c>
      <c r="H12" s="25" t="str">
        <f>IFERROR(IF($L12="","",1+COUNTIF(Resultatberegning!$AB$8:$AB$27,"&lt;"&amp;INDEX(Resultatberegning!$AB$8:$AB$27,$L12-7))),"")</f>
        <v/>
      </c>
      <c r="I12" s="66"/>
      <c r="J12" s="66"/>
      <c r="K12" s="21" t="str">
        <f>IFERROR(IF(Resultatberegning!$AB12="","",Resultatberegning!$AB12+ROW(Resultatberegning!$AB12)/1000000),"")</f>
        <v/>
      </c>
      <c r="L12" s="21" t="str">
        <f>IFERROR(MATCH(SMALL($K$8:$K$27,5),$K$8:$K$27,0)+7,"")</f>
        <v/>
      </c>
      <c r="M12" s="66"/>
      <c r="N12" s="66"/>
      <c r="O12" s="66"/>
      <c r="P12" s="66"/>
      <c r="Q12" s="66"/>
      <c r="R12" s="66"/>
      <c r="S12" s="66"/>
      <c r="T12" s="66"/>
      <c r="U12" s="66"/>
    </row>
    <row r="13" spans="1:21">
      <c r="A13" s="25" t="str">
        <f>IFERROR(IF($L13="","",INDEX(Resultatberegning!$A$8:$A$27,$L13-7)),"")</f>
        <v/>
      </c>
      <c r="B13" s="26" t="str">
        <f>IFERROR(IF($L13="","",INDEX(Resultatberegning!$B$8:$B$27,$L13-7)),"")</f>
        <v/>
      </c>
      <c r="C13" s="26" t="str">
        <f>IFERROR(IF($L13="","",INDEX('Deltager info'!$C$6:$C$25,$L13-7)),"")</f>
        <v/>
      </c>
      <c r="D13" s="27" t="str">
        <f>IFERROR(IF($L13="","",INDEX(Resultatberegning!$I$8:$I$27,$L13-7)),"")</f>
        <v/>
      </c>
      <c r="E13" s="27" t="str">
        <f>IFERROR(IF($L13="","",INDEX(Resultatberegning!$T$8:$T$27,$L13-7)),"")</f>
        <v/>
      </c>
      <c r="F13" s="27" t="str">
        <f>IFERROR(IF($L13="","",INDEX(Resultatberegning!$Z$8:$Z$27,$L13-7)),"")</f>
        <v/>
      </c>
      <c r="G13" s="27" t="str">
        <f>IFERROR(IF($L13="","",INDEX(Resultatberegning!$AB$8:$AB$27,$L13-7)),"")</f>
        <v/>
      </c>
      <c r="H13" s="25" t="str">
        <f>IFERROR(IF($L13="","",1+COUNTIF(Resultatberegning!$AB$8:$AB$27,"&lt;"&amp;INDEX(Resultatberegning!$AB$8:$AB$27,$L13-7))),"")</f>
        <v/>
      </c>
      <c r="I13" s="66"/>
      <c r="J13" s="66"/>
      <c r="K13" s="21" t="str">
        <f>IFERROR(IF(Resultatberegning!$AB13="","",Resultatberegning!$AB13+ROW(Resultatberegning!$AB13)/1000000),"")</f>
        <v/>
      </c>
      <c r="L13" s="21" t="str">
        <f>IFERROR(MATCH(SMALL($K$8:$K$27,6),$K$8:$K$27,0)+7,"")</f>
        <v/>
      </c>
      <c r="M13" s="66"/>
      <c r="N13" s="66"/>
      <c r="O13" s="66"/>
      <c r="P13" s="66"/>
      <c r="Q13" s="66"/>
      <c r="R13" s="66"/>
      <c r="S13" s="66"/>
      <c r="T13" s="66"/>
      <c r="U13" s="66"/>
    </row>
    <row r="14" spans="1:21">
      <c r="A14" s="25" t="str">
        <f>IFERROR(IF($L14="","",INDEX(Resultatberegning!$A$8:$A$27,$L14-7)),"")</f>
        <v/>
      </c>
      <c r="B14" s="26" t="str">
        <f>IFERROR(IF($L14="","",INDEX(Resultatberegning!$B$8:$B$27,$L14-7)),"")</f>
        <v/>
      </c>
      <c r="C14" s="26" t="str">
        <f>IFERROR(IF($L14="","",INDEX('Deltager info'!$C$6:$C$25,$L14-7)),"")</f>
        <v/>
      </c>
      <c r="D14" s="27" t="str">
        <f>IFERROR(IF($L14="","",INDEX(Resultatberegning!$I$8:$I$27,$L14-7)),"")</f>
        <v/>
      </c>
      <c r="E14" s="27" t="str">
        <f>IFERROR(IF($L14="","",INDEX(Resultatberegning!$T$8:$T$27,$L14-7)),"")</f>
        <v/>
      </c>
      <c r="F14" s="27" t="str">
        <f>IFERROR(IF($L14="","",INDEX(Resultatberegning!$Z$8:$Z$27,$L14-7)),"")</f>
        <v/>
      </c>
      <c r="G14" s="27" t="str">
        <f>IFERROR(IF($L14="","",INDEX(Resultatberegning!$AB$8:$AB$27,$L14-7)),"")</f>
        <v/>
      </c>
      <c r="H14" s="25" t="str">
        <f>IFERROR(IF($L14="","",1+COUNTIF(Resultatberegning!$AB$8:$AB$27,"&lt;"&amp;INDEX(Resultatberegning!$AB$8:$AB$27,$L14-7))),"")</f>
        <v/>
      </c>
      <c r="I14" s="66"/>
      <c r="J14" s="66"/>
      <c r="K14" s="21" t="str">
        <f>IFERROR(IF(Resultatberegning!$AB14="","",Resultatberegning!$AB14+ROW(Resultatberegning!$AB14)/1000000),"")</f>
        <v/>
      </c>
      <c r="L14" s="21" t="str">
        <f>IFERROR(MATCH(SMALL($K$8:$K$27,7),$K$8:$K$27,0)+7,"")</f>
        <v/>
      </c>
      <c r="M14" s="66"/>
      <c r="N14" s="66"/>
      <c r="O14" s="66"/>
      <c r="P14" s="66"/>
      <c r="Q14" s="66"/>
      <c r="R14" s="66"/>
      <c r="S14" s="66"/>
      <c r="T14" s="66"/>
      <c r="U14" s="66"/>
    </row>
    <row r="15" spans="1:21">
      <c r="A15" s="25" t="str">
        <f>IFERROR(IF($L15="","",INDEX(Resultatberegning!$A$8:$A$27,$L15-7)),"")</f>
        <v/>
      </c>
      <c r="B15" s="26" t="str">
        <f>IFERROR(IF($L15="","",INDEX(Resultatberegning!$B$8:$B$27,$L15-7)),"")</f>
        <v/>
      </c>
      <c r="C15" s="26" t="str">
        <f>IFERROR(IF($L15="","",INDEX('Deltager info'!$C$6:$C$25,$L15-7)),"")</f>
        <v/>
      </c>
      <c r="D15" s="27" t="str">
        <f>IFERROR(IF($L15="","",INDEX(Resultatberegning!$I$8:$I$27,$L15-7)),"")</f>
        <v/>
      </c>
      <c r="E15" s="27" t="str">
        <f>IFERROR(IF($L15="","",INDEX(Resultatberegning!$T$8:$T$27,$L15-7)),"")</f>
        <v/>
      </c>
      <c r="F15" s="27" t="str">
        <f>IFERROR(IF($L15="","",INDEX(Resultatberegning!$Z$8:$Z$27,$L15-7)),"")</f>
        <v/>
      </c>
      <c r="G15" s="27" t="str">
        <f>IFERROR(IF($L15="","",INDEX(Resultatberegning!$AB$8:$AB$27,$L15-7)),"")</f>
        <v/>
      </c>
      <c r="H15" s="25" t="str">
        <f>IFERROR(IF($L15="","",1+COUNTIF(Resultatberegning!$AB$8:$AB$27,"&lt;"&amp;INDEX(Resultatberegning!$AB$8:$AB$27,$L15-7))),"")</f>
        <v/>
      </c>
      <c r="I15" s="66"/>
      <c r="J15" s="66"/>
      <c r="K15" s="21" t="str">
        <f>IFERROR(IF(Resultatberegning!$AB15="","",Resultatberegning!$AB15+ROW(Resultatberegning!$AB15)/1000000),"")</f>
        <v/>
      </c>
      <c r="L15" s="21" t="str">
        <f>IFERROR(MATCH(SMALL($K$8:$K$27,8),$K$8:$K$27,0)+7,"")</f>
        <v/>
      </c>
      <c r="M15" s="66"/>
      <c r="N15" s="66"/>
      <c r="O15" s="66"/>
      <c r="P15" s="66"/>
      <c r="Q15" s="66"/>
      <c r="R15" s="66"/>
      <c r="S15" s="66"/>
      <c r="T15" s="66"/>
      <c r="U15" s="66"/>
    </row>
    <row r="16" spans="1:21">
      <c r="A16" s="25" t="str">
        <f>IFERROR(IF($L16="","",INDEX(Resultatberegning!$A$8:$A$27,$L16-7)),"")</f>
        <v/>
      </c>
      <c r="B16" s="26" t="str">
        <f>IFERROR(IF($L16="","",INDEX(Resultatberegning!$B$8:$B$27,$L16-7)),"")</f>
        <v/>
      </c>
      <c r="C16" s="26" t="str">
        <f>IFERROR(IF($L16="","",INDEX('Deltager info'!$C$6:$C$25,$L16-7)),"")</f>
        <v/>
      </c>
      <c r="D16" s="27" t="str">
        <f>IFERROR(IF($L16="","",INDEX(Resultatberegning!$I$8:$I$27,$L16-7)),"")</f>
        <v/>
      </c>
      <c r="E16" s="27" t="str">
        <f>IFERROR(IF($L16="","",INDEX(Resultatberegning!$T$8:$T$27,$L16-7)),"")</f>
        <v/>
      </c>
      <c r="F16" s="27" t="str">
        <f>IFERROR(IF($L16="","",INDEX(Resultatberegning!$Z$8:$Z$27,$L16-7)),"")</f>
        <v/>
      </c>
      <c r="G16" s="27" t="str">
        <f>IFERROR(IF($L16="","",INDEX(Resultatberegning!$AB$8:$AB$27,$L16-7)),"")</f>
        <v/>
      </c>
      <c r="H16" s="25" t="str">
        <f>IFERROR(IF($L16="","",1+COUNTIF(Resultatberegning!$AB$8:$AB$27,"&lt;"&amp;INDEX(Resultatberegning!$AB$8:$AB$27,$L16-7))),"")</f>
        <v/>
      </c>
      <c r="I16" s="66"/>
      <c r="J16" s="66"/>
      <c r="K16" s="21" t="str">
        <f>IFERROR(IF(Resultatberegning!$AB16="","",Resultatberegning!$AB16+ROW(Resultatberegning!$AB16)/1000000),"")</f>
        <v/>
      </c>
      <c r="L16" s="21" t="str">
        <f>IFERROR(MATCH(SMALL($K$8:$K$27,9),$K$8:$K$27,0)+7,"")</f>
        <v/>
      </c>
      <c r="M16" s="66"/>
      <c r="N16" s="66"/>
      <c r="O16" s="66"/>
      <c r="P16" s="66"/>
      <c r="Q16" s="66"/>
      <c r="R16" s="66"/>
      <c r="S16" s="66"/>
      <c r="T16" s="66"/>
      <c r="U16" s="66"/>
    </row>
    <row r="17" spans="1:21">
      <c r="A17" s="25" t="str">
        <f>IFERROR(IF($L17="","",INDEX(Resultatberegning!$A$8:$A$27,$L17-7)),"")</f>
        <v/>
      </c>
      <c r="B17" s="26" t="str">
        <f>IFERROR(IF($L17="","",INDEX(Resultatberegning!$B$8:$B$27,$L17-7)),"")</f>
        <v/>
      </c>
      <c r="C17" s="26" t="str">
        <f>IFERROR(IF($L17="","",INDEX('Deltager info'!$C$6:$C$25,$L17-7)),"")</f>
        <v/>
      </c>
      <c r="D17" s="27" t="str">
        <f>IFERROR(IF($L17="","",INDEX(Resultatberegning!$I$8:$I$27,$L17-7)),"")</f>
        <v/>
      </c>
      <c r="E17" s="27" t="str">
        <f>IFERROR(IF($L17="","",INDEX(Resultatberegning!$T$8:$T$27,$L17-7)),"")</f>
        <v/>
      </c>
      <c r="F17" s="27" t="str">
        <f>IFERROR(IF($L17="","",INDEX(Resultatberegning!$Z$8:$Z$27,$L17-7)),"")</f>
        <v/>
      </c>
      <c r="G17" s="27" t="str">
        <f>IFERROR(IF($L17="","",INDEX(Resultatberegning!$AB$8:$AB$27,$L17-7)),"")</f>
        <v/>
      </c>
      <c r="H17" s="25" t="str">
        <f>IFERROR(IF($L17="","",1+COUNTIF(Resultatberegning!$AB$8:$AB$27,"&lt;"&amp;INDEX(Resultatberegning!$AB$8:$AB$27,$L17-7))),"")</f>
        <v/>
      </c>
      <c r="I17" s="66"/>
      <c r="J17" s="66"/>
      <c r="K17" s="21" t="str">
        <f>IFERROR(IF(Resultatberegning!$AB17="","",Resultatberegning!$AB17+ROW(Resultatberegning!$AB17)/1000000),"")</f>
        <v/>
      </c>
      <c r="L17" s="21" t="str">
        <f>IFERROR(MATCH(SMALL($K$8:$K$27,10),$K$8:$K$27,0)+7,"")</f>
        <v/>
      </c>
      <c r="M17" s="66"/>
      <c r="N17" s="66"/>
      <c r="O17" s="66"/>
      <c r="P17" s="66"/>
      <c r="Q17" s="66"/>
      <c r="R17" s="66"/>
      <c r="S17" s="66"/>
      <c r="T17" s="66"/>
      <c r="U17" s="66"/>
    </row>
    <row r="18" spans="1:21">
      <c r="A18" s="25" t="str">
        <f>IFERROR(IF($L18="","",INDEX(Resultatberegning!$A$8:$A$27,$L18-7)),"")</f>
        <v/>
      </c>
      <c r="B18" s="26" t="str">
        <f>IFERROR(IF($L18="","",INDEX(Resultatberegning!$B$8:$B$27,$L18-7)),"")</f>
        <v/>
      </c>
      <c r="C18" s="26" t="str">
        <f>IFERROR(IF($L18="","",INDEX('Deltager info'!$C$6:$C$25,$L18-7)),"")</f>
        <v/>
      </c>
      <c r="D18" s="27" t="str">
        <f>IFERROR(IF($L18="","",INDEX(Resultatberegning!$I$8:$I$27,$L18-7)),"")</f>
        <v/>
      </c>
      <c r="E18" s="27" t="str">
        <f>IFERROR(IF($L18="","",INDEX(Resultatberegning!$T$8:$T$27,$L18-7)),"")</f>
        <v/>
      </c>
      <c r="F18" s="27" t="str">
        <f>IFERROR(IF($L18="","",INDEX(Resultatberegning!$Z$8:$Z$27,$L18-7)),"")</f>
        <v/>
      </c>
      <c r="G18" s="27" t="str">
        <f>IFERROR(IF($L18="","",INDEX(Resultatberegning!$AB$8:$AB$27,$L18-7)),"")</f>
        <v/>
      </c>
      <c r="H18" s="25" t="str">
        <f>IFERROR(IF($L18="","",1+COUNTIF(Resultatberegning!$AB$8:$AB$27,"&lt;"&amp;INDEX(Resultatberegning!$AB$8:$AB$27,$L18-7))),"")</f>
        <v/>
      </c>
      <c r="I18" s="66"/>
      <c r="J18" s="66"/>
      <c r="K18" s="21" t="str">
        <f>IFERROR(IF(Resultatberegning!$AB18="","",Resultatberegning!$AB18+ROW(Resultatberegning!$AB18)/1000000),"")</f>
        <v/>
      </c>
      <c r="L18" s="21" t="str">
        <f>IFERROR(MATCH(SMALL($K$8:$K$27,11),$K$8:$K$27,0)+7,"")</f>
        <v/>
      </c>
      <c r="M18" s="66"/>
      <c r="N18" s="66"/>
      <c r="O18" s="66"/>
      <c r="P18" s="66"/>
      <c r="Q18" s="66"/>
      <c r="R18" s="66"/>
      <c r="S18" s="66"/>
      <c r="T18" s="66"/>
      <c r="U18" s="66"/>
    </row>
    <row r="19" spans="1:21">
      <c r="A19" s="25" t="str">
        <f>IFERROR(IF($L19="","",INDEX(Resultatberegning!$A$8:$A$27,$L19-7)),"")</f>
        <v/>
      </c>
      <c r="B19" s="26" t="str">
        <f>IFERROR(IF($L19="","",INDEX(Resultatberegning!$B$8:$B$27,$L19-7)),"")</f>
        <v/>
      </c>
      <c r="C19" s="26" t="str">
        <f>IFERROR(IF($L19="","",INDEX('Deltager info'!$C$6:$C$25,$L19-7)),"")</f>
        <v/>
      </c>
      <c r="D19" s="27" t="str">
        <f>IFERROR(IF($L19="","",INDEX(Resultatberegning!$I$8:$I$27,$L19-7)),"")</f>
        <v/>
      </c>
      <c r="E19" s="27" t="str">
        <f>IFERROR(IF($L19="","",INDEX(Resultatberegning!$T$8:$T$27,$L19-7)),"")</f>
        <v/>
      </c>
      <c r="F19" s="27" t="str">
        <f>IFERROR(IF($L19="","",INDEX(Resultatberegning!$Z$8:$Z$27,$L19-7)),"")</f>
        <v/>
      </c>
      <c r="G19" s="27" t="str">
        <f>IFERROR(IF($L19="","",INDEX(Resultatberegning!$AB$8:$AB$27,$L19-7)),"")</f>
        <v/>
      </c>
      <c r="H19" s="25" t="str">
        <f>IFERROR(IF($L19="","",1+COUNTIF(Resultatberegning!$AB$8:$AB$27,"&lt;"&amp;INDEX(Resultatberegning!$AB$8:$AB$27,$L19-7))),"")</f>
        <v/>
      </c>
      <c r="I19" s="66"/>
      <c r="J19" s="66"/>
      <c r="K19" s="21" t="str">
        <f>IFERROR(IF(Resultatberegning!$AB19="","",Resultatberegning!$AB19+ROW(Resultatberegning!$AB19)/1000000),"")</f>
        <v/>
      </c>
      <c r="L19" s="21" t="str">
        <f>IFERROR(MATCH(SMALL($K$8:$K$27,12),$K$8:$K$27,0)+7,"")</f>
        <v/>
      </c>
      <c r="M19" s="66"/>
      <c r="N19" s="66"/>
      <c r="O19" s="66"/>
      <c r="P19" s="66"/>
      <c r="Q19" s="66"/>
      <c r="R19" s="66"/>
      <c r="S19" s="66"/>
      <c r="T19" s="66"/>
      <c r="U19" s="66"/>
    </row>
    <row r="20" spans="1:21">
      <c r="A20" s="25" t="str">
        <f>IFERROR(IF($L20="","",INDEX(Resultatberegning!$A$8:$A$27,$L20-7)),"")</f>
        <v/>
      </c>
      <c r="B20" s="26" t="str">
        <f>IFERROR(IF($L20="","",INDEX(Resultatberegning!$B$8:$B$27,$L20-7)),"")</f>
        <v/>
      </c>
      <c r="C20" s="26" t="str">
        <f>IFERROR(IF($L20="","",INDEX('Deltager info'!$C$6:$C$25,$L20-7)),"")</f>
        <v/>
      </c>
      <c r="D20" s="27" t="str">
        <f>IFERROR(IF($L20="","",INDEX(Resultatberegning!$I$8:$I$27,$L20-7)),"")</f>
        <v/>
      </c>
      <c r="E20" s="27" t="str">
        <f>IFERROR(IF($L20="","",INDEX(Resultatberegning!$T$8:$T$27,$L20-7)),"")</f>
        <v/>
      </c>
      <c r="F20" s="27" t="str">
        <f>IFERROR(IF($L20="","",INDEX(Resultatberegning!$Z$8:$Z$27,$L20-7)),"")</f>
        <v/>
      </c>
      <c r="G20" s="27" t="str">
        <f>IFERROR(IF($L20="","",INDEX(Resultatberegning!$AB$8:$AB$27,$L20-7)),"")</f>
        <v/>
      </c>
      <c r="H20" s="25" t="str">
        <f>IFERROR(IF($L20="","",1+COUNTIF(Resultatberegning!$AB$8:$AB$27,"&lt;"&amp;INDEX(Resultatberegning!$AB$8:$AB$27,$L20-7))),"")</f>
        <v/>
      </c>
      <c r="I20" s="66"/>
      <c r="J20" s="66"/>
      <c r="K20" s="21" t="str">
        <f>IFERROR(IF(Resultatberegning!$AB20="","",Resultatberegning!$AB20+ROW(Resultatberegning!$AB20)/1000000),"")</f>
        <v/>
      </c>
      <c r="L20" s="21" t="str">
        <f>IFERROR(MATCH(SMALL($K$8:$K$27,13),$K$8:$K$27,0)+7,"")</f>
        <v/>
      </c>
      <c r="M20" s="66"/>
      <c r="N20" s="66"/>
      <c r="O20" s="66"/>
      <c r="P20" s="66"/>
      <c r="Q20" s="66"/>
      <c r="R20" s="66"/>
      <c r="S20" s="66"/>
      <c r="T20" s="66"/>
      <c r="U20" s="66"/>
    </row>
    <row r="21" spans="1:21">
      <c r="A21" s="25" t="str">
        <f>IFERROR(IF($L21="","",INDEX(Resultatberegning!$A$8:$A$27,$L21-7)),"")</f>
        <v/>
      </c>
      <c r="B21" s="26" t="str">
        <f>IFERROR(IF($L21="","",INDEX(Resultatberegning!$B$8:$B$27,$L21-7)),"")</f>
        <v/>
      </c>
      <c r="C21" s="26" t="str">
        <f>IFERROR(IF($L21="","",INDEX('Deltager info'!$C$6:$C$25,$L21-7)),"")</f>
        <v/>
      </c>
      <c r="D21" s="27" t="str">
        <f>IFERROR(IF($L21="","",INDEX(Resultatberegning!$I$8:$I$27,$L21-7)),"")</f>
        <v/>
      </c>
      <c r="E21" s="27" t="str">
        <f>IFERROR(IF($L21="","",INDEX(Resultatberegning!$T$8:$T$27,$L21-7)),"")</f>
        <v/>
      </c>
      <c r="F21" s="27" t="str">
        <f>IFERROR(IF($L21="","",INDEX(Resultatberegning!$Z$8:$Z$27,$L21-7)),"")</f>
        <v/>
      </c>
      <c r="G21" s="27" t="str">
        <f>IFERROR(IF($L21="","",INDEX(Resultatberegning!$AB$8:$AB$27,$L21-7)),"")</f>
        <v/>
      </c>
      <c r="H21" s="25" t="str">
        <f>IFERROR(IF($L21="","",1+COUNTIF(Resultatberegning!$AB$8:$AB$27,"&lt;"&amp;INDEX(Resultatberegning!$AB$8:$AB$27,$L21-7))),"")</f>
        <v/>
      </c>
      <c r="I21" s="66"/>
      <c r="J21" s="66"/>
      <c r="K21" s="21" t="str">
        <f>IFERROR(IF(Resultatberegning!$AB21="","",Resultatberegning!$AB21+ROW(Resultatberegning!$AB21)/1000000),"")</f>
        <v/>
      </c>
      <c r="L21" s="21" t="str">
        <f>IFERROR(MATCH(SMALL($K$8:$K$27,14),$K$8:$K$27,0)+7,"")</f>
        <v/>
      </c>
      <c r="M21" s="66"/>
      <c r="N21" s="66"/>
      <c r="O21" s="66"/>
      <c r="P21" s="66"/>
      <c r="Q21" s="66"/>
      <c r="R21" s="66"/>
      <c r="S21" s="66"/>
      <c r="T21" s="66"/>
      <c r="U21" s="66"/>
    </row>
    <row r="22" spans="1:21">
      <c r="A22" s="25" t="str">
        <f>IFERROR(IF($L22="","",INDEX(Resultatberegning!$A$8:$A$27,$L22-7)),"")</f>
        <v/>
      </c>
      <c r="B22" s="26" t="str">
        <f>IFERROR(IF($L22="","",INDEX(Resultatberegning!$B$8:$B$27,$L22-7)),"")</f>
        <v/>
      </c>
      <c r="C22" s="26" t="str">
        <f>IFERROR(IF($L22="","",INDEX('Deltager info'!$C$6:$C$25,$L22-7)),"")</f>
        <v/>
      </c>
      <c r="D22" s="27" t="str">
        <f>IFERROR(IF($L22="","",INDEX(Resultatberegning!$I$8:$I$27,$L22-7)),"")</f>
        <v/>
      </c>
      <c r="E22" s="27" t="str">
        <f>IFERROR(IF($L22="","",INDEX(Resultatberegning!$T$8:$T$27,$L22-7)),"")</f>
        <v/>
      </c>
      <c r="F22" s="27" t="str">
        <f>IFERROR(IF($L22="","",INDEX(Resultatberegning!$Z$8:$Z$27,$L22-7)),"")</f>
        <v/>
      </c>
      <c r="G22" s="27" t="str">
        <f>IFERROR(IF($L22="","",INDEX(Resultatberegning!$AB$8:$AB$27,$L22-7)),"")</f>
        <v/>
      </c>
      <c r="H22" s="25" t="str">
        <f>IFERROR(IF($L22="","",1+COUNTIF(Resultatberegning!$AB$8:$AB$27,"&lt;"&amp;INDEX(Resultatberegning!$AB$8:$AB$27,$L22-7))),"")</f>
        <v/>
      </c>
      <c r="I22" s="66"/>
      <c r="J22" s="66"/>
      <c r="K22" s="21" t="str">
        <f>IFERROR(IF(Resultatberegning!$AB22="","",Resultatberegning!$AB22+ROW(Resultatberegning!$AB22)/1000000),"")</f>
        <v/>
      </c>
      <c r="L22" s="21" t="str">
        <f>IFERROR(MATCH(SMALL($K$8:$K$27,15),$K$8:$K$27,0)+7,"")</f>
        <v/>
      </c>
      <c r="M22" s="66"/>
      <c r="N22" s="66"/>
      <c r="O22" s="66"/>
      <c r="P22" s="66"/>
      <c r="Q22" s="66"/>
      <c r="R22" s="66"/>
      <c r="S22" s="66"/>
      <c r="T22" s="66"/>
      <c r="U22" s="66"/>
    </row>
    <row r="23" spans="1:21">
      <c r="A23" s="25" t="str">
        <f>IFERROR(IF($L23="","",INDEX(Resultatberegning!$A$8:$A$27,$L23-7)),"")</f>
        <v/>
      </c>
      <c r="B23" s="26" t="str">
        <f>IFERROR(IF($L23="","",INDEX(Resultatberegning!$B$8:$B$27,$L23-7)),"")</f>
        <v/>
      </c>
      <c r="C23" s="26" t="str">
        <f>IFERROR(IF($L23="","",INDEX('Deltager info'!$C$6:$C$25,$L23-7)),"")</f>
        <v/>
      </c>
      <c r="D23" s="27" t="str">
        <f>IFERROR(IF($L23="","",INDEX(Resultatberegning!$I$8:$I$27,$L23-7)),"")</f>
        <v/>
      </c>
      <c r="E23" s="27" t="str">
        <f>IFERROR(IF($L23="","",INDEX(Resultatberegning!$T$8:$T$27,$L23-7)),"")</f>
        <v/>
      </c>
      <c r="F23" s="27" t="str">
        <f>IFERROR(IF($L23="","",INDEX(Resultatberegning!$Z$8:$Z$27,$L23-7)),"")</f>
        <v/>
      </c>
      <c r="G23" s="27" t="str">
        <f>IFERROR(IF($L23="","",INDEX(Resultatberegning!$AB$8:$AB$27,$L23-7)),"")</f>
        <v/>
      </c>
      <c r="H23" s="25" t="str">
        <f>IFERROR(IF($L23="","",1+COUNTIF(Resultatberegning!$AB$8:$AB$27,"&lt;"&amp;INDEX(Resultatberegning!$AB$8:$AB$27,$L23-7))),"")</f>
        <v/>
      </c>
      <c r="I23" s="66"/>
      <c r="J23" s="66"/>
      <c r="K23" s="21" t="str">
        <f>IFERROR(IF(Resultatberegning!$AB23="","",Resultatberegning!$AB23+ROW(Resultatberegning!$AB23)/1000000),"")</f>
        <v/>
      </c>
      <c r="L23" s="21" t="str">
        <f>IFERROR(MATCH(SMALL($K$8:$K$27,16),$K$8:$K$27,0)+7,"")</f>
        <v/>
      </c>
      <c r="M23" s="66"/>
      <c r="N23" s="66"/>
      <c r="O23" s="66"/>
      <c r="P23" s="66"/>
      <c r="Q23" s="66"/>
      <c r="R23" s="66"/>
      <c r="S23" s="66"/>
      <c r="T23" s="66"/>
      <c r="U23" s="66"/>
    </row>
    <row r="24" spans="1:21">
      <c r="A24" s="25" t="str">
        <f>IFERROR(IF($L24="","",INDEX(Resultatberegning!$A$8:$A$27,$L24-7)),"")</f>
        <v/>
      </c>
      <c r="B24" s="26" t="str">
        <f>IFERROR(IF($L24="","",INDEX(Resultatberegning!$B$8:$B$27,$L24-7)),"")</f>
        <v/>
      </c>
      <c r="C24" s="26" t="str">
        <f>IFERROR(IF($L24="","",INDEX('Deltager info'!$C$6:$C$25,$L24-7)),"")</f>
        <v/>
      </c>
      <c r="D24" s="27" t="str">
        <f>IFERROR(IF($L24="","",INDEX(Resultatberegning!$I$8:$I$27,$L24-7)),"")</f>
        <v/>
      </c>
      <c r="E24" s="27" t="str">
        <f>IFERROR(IF($L24="","",INDEX(Resultatberegning!$T$8:$T$27,$L24-7)),"")</f>
        <v/>
      </c>
      <c r="F24" s="27" t="str">
        <f>IFERROR(IF($L24="","",INDEX(Resultatberegning!$Z$8:$Z$27,$L24-7)),"")</f>
        <v/>
      </c>
      <c r="G24" s="27" t="str">
        <f>IFERROR(IF($L24="","",INDEX(Resultatberegning!$AB$8:$AB$27,$L24-7)),"")</f>
        <v/>
      </c>
      <c r="H24" s="25" t="str">
        <f>IFERROR(IF($L24="","",1+COUNTIF(Resultatberegning!$AB$8:$AB$27,"&lt;"&amp;INDEX(Resultatberegning!$AB$8:$AB$27,$L24-7))),"")</f>
        <v/>
      </c>
      <c r="I24" s="66"/>
      <c r="J24" s="66"/>
      <c r="K24" s="21" t="str">
        <f>IFERROR(IF(Resultatberegning!$AB24="","",Resultatberegning!$AB24+ROW(Resultatberegning!$AB24)/1000000),"")</f>
        <v/>
      </c>
      <c r="L24" s="21" t="str">
        <f>IFERROR(MATCH(SMALL($K$8:$K$27,17),$K$8:$K$27,0)+7,"")</f>
        <v/>
      </c>
      <c r="M24" s="66"/>
      <c r="N24" s="66"/>
      <c r="O24" s="66"/>
      <c r="P24" s="66"/>
      <c r="Q24" s="66"/>
      <c r="R24" s="66"/>
      <c r="S24" s="66"/>
      <c r="T24" s="66"/>
      <c r="U24" s="66"/>
    </row>
    <row r="25" spans="1:21">
      <c r="A25" s="25" t="str">
        <f>IFERROR(IF($L25="","",INDEX(Resultatberegning!$A$8:$A$27,$L25-7)),"")</f>
        <v/>
      </c>
      <c r="B25" s="26" t="str">
        <f>IFERROR(IF($L25="","",INDEX(Resultatberegning!$B$8:$B$27,$L25-7)),"")</f>
        <v/>
      </c>
      <c r="C25" s="26" t="str">
        <f>IFERROR(IF($L25="","",INDEX('Deltager info'!$C$6:$C$25,$L25-7)),"")</f>
        <v/>
      </c>
      <c r="D25" s="27" t="str">
        <f>IFERROR(IF($L25="","",INDEX(Resultatberegning!$I$8:$I$27,$L25-7)),"")</f>
        <v/>
      </c>
      <c r="E25" s="27" t="str">
        <f>IFERROR(IF($L25="","",INDEX(Resultatberegning!$T$8:$T$27,$L25-7)),"")</f>
        <v/>
      </c>
      <c r="F25" s="27" t="str">
        <f>IFERROR(IF($L25="","",INDEX(Resultatberegning!$Z$8:$Z$27,$L25-7)),"")</f>
        <v/>
      </c>
      <c r="G25" s="27" t="str">
        <f>IFERROR(IF($L25="","",INDEX(Resultatberegning!$AB$8:$AB$27,$L25-7)),"")</f>
        <v/>
      </c>
      <c r="H25" s="25" t="str">
        <f>IFERROR(IF($L25="","",1+COUNTIF(Resultatberegning!$AB$8:$AB$27,"&lt;"&amp;INDEX(Resultatberegning!$AB$8:$AB$27,$L25-7))),"")</f>
        <v/>
      </c>
      <c r="I25" s="66"/>
      <c r="J25" s="66"/>
      <c r="K25" s="21" t="str">
        <f>IFERROR(IF(Resultatberegning!$AB25="","",Resultatberegning!$AB25+ROW(Resultatberegning!$AB25)/1000000),"")</f>
        <v/>
      </c>
      <c r="L25" s="21" t="str">
        <f>IFERROR(MATCH(SMALL($K$8:$K$27,18),$K$8:$K$27,0)+7,"")</f>
        <v/>
      </c>
      <c r="M25" s="66"/>
      <c r="N25" s="66"/>
      <c r="O25" s="66"/>
      <c r="P25" s="66"/>
      <c r="Q25" s="66"/>
      <c r="R25" s="66"/>
      <c r="S25" s="66"/>
      <c r="T25" s="66"/>
      <c r="U25" s="66"/>
    </row>
    <row r="26" spans="1:21">
      <c r="A26" s="25" t="str">
        <f>IFERROR(IF($L26="","",INDEX(Resultatberegning!$A$8:$A$27,$L26-7)),"")</f>
        <v/>
      </c>
      <c r="B26" s="26" t="str">
        <f>IFERROR(IF($L26="","",INDEX(Resultatberegning!$B$8:$B$27,$L26-7)),"")</f>
        <v/>
      </c>
      <c r="C26" s="26" t="str">
        <f>IFERROR(IF($L26="","",INDEX('Deltager info'!$C$6:$C$25,$L26-7)),"")</f>
        <v/>
      </c>
      <c r="D26" s="27" t="str">
        <f>IFERROR(IF($L26="","",INDEX(Resultatberegning!$I$8:$I$27,$L26-7)),"")</f>
        <v/>
      </c>
      <c r="E26" s="27" t="str">
        <f>IFERROR(IF($L26="","",INDEX(Resultatberegning!$T$8:$T$27,$L26-7)),"")</f>
        <v/>
      </c>
      <c r="F26" s="27" t="str">
        <f>IFERROR(IF($L26="","",INDEX(Resultatberegning!$Z$8:$Z$27,$L26-7)),"")</f>
        <v/>
      </c>
      <c r="G26" s="27" t="str">
        <f>IFERROR(IF($L26="","",INDEX(Resultatberegning!$AB$8:$AB$27,$L26-7)),"")</f>
        <v/>
      </c>
      <c r="H26" s="25" t="str">
        <f>IFERROR(IF($L26="","",1+COUNTIF(Resultatberegning!$AB$8:$AB$27,"&lt;"&amp;INDEX(Resultatberegning!$AB$8:$AB$27,$L26-7))),"")</f>
        <v/>
      </c>
      <c r="I26" s="66"/>
      <c r="J26" s="66"/>
      <c r="K26" s="21" t="str">
        <f>IFERROR(IF(Resultatberegning!$AB26="","",Resultatberegning!$AB26+ROW(Resultatberegning!$AB26)/1000000),"")</f>
        <v/>
      </c>
      <c r="L26" s="21" t="str">
        <f>IFERROR(MATCH(SMALL($K$8:$K$27,19),$K$8:$K$27,0)+7,"")</f>
        <v/>
      </c>
      <c r="M26" s="66"/>
      <c r="N26" s="66"/>
      <c r="O26" s="66"/>
      <c r="P26" s="66"/>
      <c r="Q26" s="66"/>
      <c r="R26" s="66"/>
      <c r="S26" s="66"/>
      <c r="T26" s="66"/>
      <c r="U26" s="66"/>
    </row>
    <row r="27" spans="1:21">
      <c r="A27" s="25" t="str">
        <f>IFERROR(IF($L27="","",INDEX(Resultatberegning!$A$8:$A$27,$L27-7)),"")</f>
        <v/>
      </c>
      <c r="B27" s="26" t="str">
        <f>IFERROR(IF($L27="","",INDEX(Resultatberegning!$B$8:$B$27,$L27-7)),"")</f>
        <v/>
      </c>
      <c r="C27" s="26" t="str">
        <f>IFERROR(IF($L27="","",INDEX('Deltager info'!$C$6:$C$25,$L27-7)),"")</f>
        <v/>
      </c>
      <c r="D27" s="27" t="str">
        <f>IFERROR(IF($L27="","",INDEX(Resultatberegning!$I$8:$I$27,$L27-7)),"")</f>
        <v/>
      </c>
      <c r="E27" s="27" t="str">
        <f>IFERROR(IF($L27="","",INDEX(Resultatberegning!$T$8:$T$27,$L27-7)),"")</f>
        <v/>
      </c>
      <c r="F27" s="27" t="str">
        <f>IFERROR(IF($L27="","",INDEX(Resultatberegning!$Z$8:$Z$27,$L27-7)),"")</f>
        <v/>
      </c>
      <c r="G27" s="27" t="str">
        <f>IFERROR(IF($L27="","",INDEX(Resultatberegning!$AB$8:$AB$27,$L27-7)),"")</f>
        <v/>
      </c>
      <c r="H27" s="25" t="str">
        <f>IFERROR(IF($L27="","",1+COUNTIF(Resultatberegning!$AB$8:$AB$27,"&lt;"&amp;INDEX(Resultatberegning!$AB$8:$AB$27,$L27-7))),"")</f>
        <v/>
      </c>
      <c r="I27" s="66"/>
      <c r="J27" s="66"/>
      <c r="K27" s="21" t="str">
        <f>IFERROR(IF(Resultatberegning!$AB27="","",Resultatberegning!$AB27+ROW(Resultatberegning!$AB27)/1000000),"")</f>
        <v/>
      </c>
      <c r="L27" s="21" t="str">
        <f>IFERROR(MATCH(SMALL($K$8:$K$27,20),$K$8:$K$27,0)+7,"")</f>
        <v/>
      </c>
      <c r="M27" s="66"/>
      <c r="N27" s="66"/>
      <c r="O27" s="66"/>
      <c r="P27" s="66"/>
      <c r="Q27" s="66"/>
      <c r="R27" s="66"/>
      <c r="S27" s="66"/>
      <c r="T27" s="66"/>
      <c r="U27" s="66"/>
    </row>
    <row r="28" spans="1:21" s="28" customFormat="1">
      <c r="A28" s="92" t="s">
        <v>81</v>
      </c>
      <c r="B28" s="92"/>
      <c r="C28" s="23" t="str">
        <f>'Deltager info'!A26</f>
        <v>Vogne efter 1945</v>
      </c>
      <c r="D28" s="95"/>
      <c r="E28" s="95"/>
      <c r="F28" s="95"/>
      <c r="G28" s="95"/>
      <c r="H28" s="9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</row>
    <row r="29" spans="1:21">
      <c r="A29" s="25" t="str">
        <f>IFERROR(IF($L29="","",INDEX(Resultatberegning!$A$29:$A$48,$L29-7)),"")</f>
        <v/>
      </c>
      <c r="B29" s="26" t="str">
        <f>IFERROR(IF($L29="","",INDEX(Resultatberegning!$B$29:$B$48,$L29-7)),"")</f>
        <v/>
      </c>
      <c r="C29" s="26" t="str">
        <f>IFERROR(IF($L29="","",INDEX('Deltager info'!$C$27:$C$46,$L29-7)),"")</f>
        <v/>
      </c>
      <c r="D29" s="27" t="str">
        <f>IFERROR(IF($L29="","",INDEX(Resultatberegning!$I$29:$I$48,$L29-7)),"")</f>
        <v/>
      </c>
      <c r="E29" s="27" t="str">
        <f>IFERROR(IF($L29="","",INDEX(Resultatberegning!$T$29:$T$48,$L29-7)),"")</f>
        <v/>
      </c>
      <c r="F29" s="27" t="str">
        <f>IFERROR(IF($L29="","",INDEX(Resultatberegning!$Z$29:$Z$48,$L29-7)),"")</f>
        <v/>
      </c>
      <c r="G29" s="29" t="str">
        <f>IFERROR(IF($L29="","",INDEX(Resultatberegning!$AB$29:$AB$48,$L29-7)),"")</f>
        <v/>
      </c>
      <c r="H29" s="25" t="str">
        <f>IFERROR(IF($L29="","",1+COUNTIF(Resultatberegning!$AB$29:$AB$48,"&lt;"&amp;INDEX(Resultatberegning!$AB$29:$AB$48,$L29-7))),"")</f>
        <v/>
      </c>
      <c r="I29" s="66"/>
      <c r="J29" s="66"/>
      <c r="K29" s="21" t="str">
        <f>IFERROR(IF(Resultatberegning!$AB29="","",Resultatberegning!$AB29+ROW(Resultatberegning!$AB29)/1000000),"")</f>
        <v/>
      </c>
      <c r="L29" s="21" t="str">
        <f>IFERROR(MATCH(SMALL($K$29:$K$48,1),$K$29:$K$48,0)+7,"")</f>
        <v/>
      </c>
      <c r="M29" s="66"/>
      <c r="N29" s="66"/>
      <c r="O29" s="66"/>
      <c r="P29" s="66"/>
      <c r="Q29" s="66"/>
      <c r="R29" s="66"/>
      <c r="S29" s="66"/>
      <c r="T29" s="66"/>
      <c r="U29" s="66"/>
    </row>
    <row r="30" spans="1:21">
      <c r="A30" s="25" t="str">
        <f>IFERROR(IF($L30="","",INDEX(Resultatberegning!$A$29:$A$48,$L30-7)),"")</f>
        <v/>
      </c>
      <c r="B30" s="26" t="str">
        <f>IFERROR(IF($L30="","",INDEX(Resultatberegning!$B$29:$B$48,$L30-7)),"")</f>
        <v/>
      </c>
      <c r="C30" s="26" t="str">
        <f>IFERROR(IF($L30="","",INDEX('Deltager info'!$C$27:$C$46,$L30-7)),"")</f>
        <v/>
      </c>
      <c r="D30" s="27" t="str">
        <f>IFERROR(IF($L30="","",INDEX(Resultatberegning!$I$29:$I$48,$L30-7)),"")</f>
        <v/>
      </c>
      <c r="E30" s="27" t="str">
        <f>IFERROR(IF($L30="","",INDEX(Resultatberegning!$T$29:$T$48,$L30-7)),"")</f>
        <v/>
      </c>
      <c r="F30" s="27" t="str">
        <f>IFERROR(IF($L30="","",INDEX(Resultatberegning!$Z$29:$Z$48,$L30-7)),"")</f>
        <v/>
      </c>
      <c r="G30" s="29" t="str">
        <f>IFERROR(IF($L30="","",INDEX(Resultatberegning!$AB$29:$AB$48,$L30-7)),"")</f>
        <v/>
      </c>
      <c r="H30" s="25" t="str">
        <f>IFERROR(IF($L30="","",1+COUNTIF(Resultatberegning!$AB$29:$AB$48,"&lt;"&amp;INDEX(Resultatberegning!$AB$29:$AB$48,$L30-7))),"")</f>
        <v/>
      </c>
      <c r="I30" s="66"/>
      <c r="J30" s="66"/>
      <c r="K30" s="21" t="str">
        <f>IFERROR(IF(Resultatberegning!$AB30="","",Resultatberegning!$AB30+ROW(Resultatberegning!$AB30)/1000000),"")</f>
        <v/>
      </c>
      <c r="L30" s="21" t="str">
        <f>IFERROR(MATCH(SMALL($K$29:$K$48,2),$K$29:$K$48,0)+7,"")</f>
        <v/>
      </c>
      <c r="M30" s="66"/>
      <c r="N30" s="66"/>
      <c r="O30" s="66"/>
      <c r="P30" s="66"/>
      <c r="Q30" s="66"/>
      <c r="R30" s="66"/>
      <c r="S30" s="66"/>
      <c r="T30" s="66"/>
      <c r="U30" s="66"/>
    </row>
    <row r="31" spans="1:21">
      <c r="A31" s="25" t="str">
        <f>IFERROR(IF($L31="","",INDEX(Resultatberegning!$A$29:$A$48,$L31-7)),"")</f>
        <v/>
      </c>
      <c r="B31" s="26" t="str">
        <f>IFERROR(IF($L31="","",INDEX(Resultatberegning!$B$29:$B$48,$L31-7)),"")</f>
        <v/>
      </c>
      <c r="C31" s="26" t="str">
        <f>IFERROR(IF($L31="","",INDEX('Deltager info'!$C$27:$C$46,$L31-7)),"")</f>
        <v/>
      </c>
      <c r="D31" s="27" t="str">
        <f>IFERROR(IF($L31="","",INDEX(Resultatberegning!$I$29:$I$48,$L31-7)),"")</f>
        <v/>
      </c>
      <c r="E31" s="27" t="str">
        <f>IFERROR(IF($L31="","",INDEX(Resultatberegning!$T$29:$T$48,$L31-7)),"")</f>
        <v/>
      </c>
      <c r="F31" s="27" t="str">
        <f>IFERROR(IF($L31="","",INDEX(Resultatberegning!$Z$29:$Z$48,$L31-7)),"")</f>
        <v/>
      </c>
      <c r="G31" s="29" t="str">
        <f>IFERROR(IF($L31="","",INDEX(Resultatberegning!$AB$29:$AB$48,$L31-7)),"")</f>
        <v/>
      </c>
      <c r="H31" s="25" t="str">
        <f>IFERROR(IF($L31="","",1+COUNTIF(Resultatberegning!$AB$29:$AB$48,"&lt;"&amp;INDEX(Resultatberegning!$AB$29:$AB$48,$L31-7))),"")</f>
        <v/>
      </c>
      <c r="I31" s="66"/>
      <c r="J31" s="66"/>
      <c r="K31" s="21" t="str">
        <f>IFERROR(IF(Resultatberegning!$AB31="","",Resultatberegning!$AB31+ROW(Resultatberegning!$AB31)/1000000),"")</f>
        <v/>
      </c>
      <c r="L31" s="21" t="str">
        <f>IFERROR(MATCH(SMALL($K$29:$K$48,3),$K$29:$K$48,0)+7,"")</f>
        <v/>
      </c>
      <c r="M31" s="66"/>
      <c r="N31" s="66"/>
      <c r="O31" s="66"/>
      <c r="P31" s="66"/>
      <c r="Q31" s="66"/>
      <c r="R31" s="66"/>
      <c r="S31" s="66"/>
      <c r="T31" s="66"/>
      <c r="U31" s="66"/>
    </row>
    <row r="32" spans="1:21">
      <c r="A32" s="25" t="str">
        <f>IFERROR(IF($L32="","",INDEX(Resultatberegning!$A$29:$A$48,$L32-7)),"")</f>
        <v/>
      </c>
      <c r="B32" s="26" t="str">
        <f>IFERROR(IF($L32="","",INDEX(Resultatberegning!$B$29:$B$48,$L32-7)),"")</f>
        <v/>
      </c>
      <c r="C32" s="26" t="str">
        <f>IFERROR(IF($L32="","",INDEX('Deltager info'!$C$27:$C$46,$L32-7)),"")</f>
        <v/>
      </c>
      <c r="D32" s="27" t="str">
        <f>IFERROR(IF($L32="","",INDEX(Resultatberegning!$I$29:$I$48,$L32-7)),"")</f>
        <v/>
      </c>
      <c r="E32" s="27" t="str">
        <f>IFERROR(IF($L32="","",INDEX(Resultatberegning!$T$29:$T$48,$L32-7)),"")</f>
        <v/>
      </c>
      <c r="F32" s="27" t="str">
        <f>IFERROR(IF($L32="","",INDEX(Resultatberegning!$Z$29:$Z$48,$L32-7)),"")</f>
        <v/>
      </c>
      <c r="G32" s="29" t="str">
        <f>IFERROR(IF($L32="","",INDEX(Resultatberegning!$AB$29:$AB$48,$L32-7)),"")</f>
        <v/>
      </c>
      <c r="H32" s="25" t="str">
        <f>IFERROR(IF($L32="","",1+COUNTIF(Resultatberegning!$AB$29:$AB$48,"&lt;"&amp;INDEX(Resultatberegning!$AB$29:$AB$48,$L32-7))),"")</f>
        <v/>
      </c>
      <c r="I32" s="66"/>
      <c r="J32" s="66"/>
      <c r="K32" s="21" t="str">
        <f>IFERROR(IF(Resultatberegning!$AB32="","",Resultatberegning!$AB32+ROW(Resultatberegning!$AB32)/1000000),"")</f>
        <v/>
      </c>
      <c r="L32" s="21" t="str">
        <f>IFERROR(MATCH(SMALL($K$29:$K$48,4),$K$29:$K$48,0)+7,"")</f>
        <v/>
      </c>
      <c r="M32" s="66"/>
      <c r="N32" s="66"/>
      <c r="O32" s="66"/>
      <c r="P32" s="66"/>
      <c r="Q32" s="66"/>
      <c r="R32" s="66"/>
      <c r="S32" s="66"/>
      <c r="T32" s="66"/>
      <c r="U32" s="66"/>
    </row>
    <row r="33" spans="1:21">
      <c r="A33" s="25" t="str">
        <f>IFERROR(IF($L33="","",INDEX(Resultatberegning!$A$29:$A$48,$L33-7)),"")</f>
        <v/>
      </c>
      <c r="B33" s="26" t="str">
        <f>IFERROR(IF($L33="","",INDEX(Resultatberegning!$B$29:$B$48,$L33-7)),"")</f>
        <v/>
      </c>
      <c r="C33" s="26" t="str">
        <f>IFERROR(IF($L33="","",INDEX('Deltager info'!$C$27:$C$46,$L33-7)),"")</f>
        <v/>
      </c>
      <c r="D33" s="27" t="str">
        <f>IFERROR(IF($L33="","",INDEX(Resultatberegning!$I$29:$I$48,$L33-7)),"")</f>
        <v/>
      </c>
      <c r="E33" s="27" t="str">
        <f>IFERROR(IF($L33="","",INDEX(Resultatberegning!$T$29:$T$48,$L33-7)),"")</f>
        <v/>
      </c>
      <c r="F33" s="27" t="str">
        <f>IFERROR(IF($L33="","",INDEX(Resultatberegning!$Z$29:$Z$48,$L33-7)),"")</f>
        <v/>
      </c>
      <c r="G33" s="29" t="str">
        <f>IFERROR(IF($L33="","",INDEX(Resultatberegning!$AB$29:$AB$48,$L33-7)),"")</f>
        <v/>
      </c>
      <c r="H33" s="25" t="str">
        <f>IFERROR(IF($L33="","",1+COUNTIF(Resultatberegning!$AB$29:$AB$48,"&lt;"&amp;INDEX(Resultatberegning!$AB$29:$AB$48,$L33-7))),"")</f>
        <v/>
      </c>
      <c r="I33" s="66"/>
      <c r="J33" s="66"/>
      <c r="K33" s="21" t="str">
        <f>IFERROR(IF(Resultatberegning!$AB33="","",Resultatberegning!$AB33+ROW(Resultatberegning!$AB33)/1000000),"")</f>
        <v/>
      </c>
      <c r="L33" s="21" t="str">
        <f>IFERROR(MATCH(SMALL($K$29:$K$48,5),$K$29:$K$48,0)+7,"")</f>
        <v/>
      </c>
      <c r="M33" s="66"/>
      <c r="N33" s="66"/>
      <c r="O33" s="66"/>
      <c r="P33" s="66"/>
      <c r="Q33" s="66"/>
      <c r="R33" s="66"/>
      <c r="S33" s="66"/>
      <c r="T33" s="66"/>
      <c r="U33" s="66"/>
    </row>
    <row r="34" spans="1:21">
      <c r="A34" s="25" t="str">
        <f>IFERROR(IF($L34="","",INDEX(Resultatberegning!$A$29:$A$48,$L34-7)),"")</f>
        <v/>
      </c>
      <c r="B34" s="26" t="str">
        <f>IFERROR(IF($L34="","",INDEX(Resultatberegning!$B$29:$B$48,$L34-7)),"")</f>
        <v/>
      </c>
      <c r="C34" s="26" t="str">
        <f>IFERROR(IF($L34="","",INDEX('Deltager info'!$C$27:$C$46,$L34-7)),"")</f>
        <v/>
      </c>
      <c r="D34" s="27" t="str">
        <f>IFERROR(IF($L34="","",INDEX(Resultatberegning!$I$29:$I$48,$L34-7)),"")</f>
        <v/>
      </c>
      <c r="E34" s="27" t="str">
        <f>IFERROR(IF($L34="","",INDEX(Resultatberegning!$T$29:$T$48,$L34-7)),"")</f>
        <v/>
      </c>
      <c r="F34" s="27" t="str">
        <f>IFERROR(IF($L34="","",INDEX(Resultatberegning!$Z$29:$Z$48,$L34-7)),"")</f>
        <v/>
      </c>
      <c r="G34" s="29" t="str">
        <f>IFERROR(IF($L34="","",INDEX(Resultatberegning!$AB$29:$AB$48,$L34-7)),"")</f>
        <v/>
      </c>
      <c r="H34" s="25" t="str">
        <f>IFERROR(IF($L34="","",1+COUNTIF(Resultatberegning!$AB$29:$AB$48,"&lt;"&amp;INDEX(Resultatberegning!$AB$29:$AB$48,$L34-7))),"")</f>
        <v/>
      </c>
      <c r="I34" s="66"/>
      <c r="J34" s="66"/>
      <c r="K34" s="21" t="str">
        <f>IFERROR(IF(Resultatberegning!$AB34="","",Resultatberegning!$AB34+ROW(Resultatberegning!$AB34)/1000000),"")</f>
        <v/>
      </c>
      <c r="L34" s="21" t="str">
        <f>IFERROR(MATCH(SMALL($K$29:$K$48,6),$K$29:$K$48,0)+7,"")</f>
        <v/>
      </c>
      <c r="M34" s="66"/>
      <c r="N34" s="66"/>
      <c r="O34" s="66"/>
      <c r="P34" s="66"/>
      <c r="Q34" s="66"/>
      <c r="R34" s="66"/>
      <c r="S34" s="66"/>
      <c r="T34" s="66"/>
      <c r="U34" s="66"/>
    </row>
    <row r="35" spans="1:21">
      <c r="A35" s="25" t="str">
        <f>IFERROR(IF($L35="","",INDEX(Resultatberegning!$A$29:$A$48,$L35-7)),"")</f>
        <v/>
      </c>
      <c r="B35" s="26" t="str">
        <f>IFERROR(IF($L35="","",INDEX(Resultatberegning!$B$29:$B$48,$L35-7)),"")</f>
        <v/>
      </c>
      <c r="C35" s="26" t="str">
        <f>IFERROR(IF($L35="","",INDEX('Deltager info'!$C$27:$C$46,$L35-7)),"")</f>
        <v/>
      </c>
      <c r="D35" s="27" t="str">
        <f>IFERROR(IF($L35="","",INDEX(Resultatberegning!$I$29:$I$48,$L35-7)),"")</f>
        <v/>
      </c>
      <c r="E35" s="27" t="str">
        <f>IFERROR(IF($L35="","",INDEX(Resultatberegning!$T$29:$T$48,$L35-7)),"")</f>
        <v/>
      </c>
      <c r="F35" s="27" t="str">
        <f>IFERROR(IF($L35="","",INDEX(Resultatberegning!$Z$29:$Z$48,$L35-7)),"")</f>
        <v/>
      </c>
      <c r="G35" s="29" t="str">
        <f>IFERROR(IF($L35="","",INDEX(Resultatberegning!$AB$29:$AB$48,$L35-7)),"")</f>
        <v/>
      </c>
      <c r="H35" s="25" t="str">
        <f>IFERROR(IF($L35="","",1+COUNTIF(Resultatberegning!$AB$29:$AB$48,"&lt;"&amp;INDEX(Resultatberegning!$AB$29:$AB$48,$L35-7))),"")</f>
        <v/>
      </c>
      <c r="I35" s="66"/>
      <c r="J35" s="66"/>
      <c r="K35" s="21" t="str">
        <f>IFERROR(IF(Resultatberegning!$AB35="","",Resultatberegning!$AB35+ROW(Resultatberegning!$AB35)/1000000),"")</f>
        <v/>
      </c>
      <c r="L35" s="21" t="str">
        <f>IFERROR(MATCH(SMALL($K$29:$K$48,7),$K$29:$K$48,0)+7,"")</f>
        <v/>
      </c>
      <c r="M35" s="66"/>
      <c r="N35" s="66"/>
      <c r="O35" s="66"/>
      <c r="P35" s="66"/>
      <c r="Q35" s="66"/>
      <c r="R35" s="66"/>
      <c r="S35" s="66"/>
      <c r="T35" s="66"/>
      <c r="U35" s="66"/>
    </row>
    <row r="36" spans="1:21">
      <c r="A36" s="25" t="str">
        <f>IFERROR(IF($L36="","",INDEX(Resultatberegning!$A$29:$A$48,$L36-7)),"")</f>
        <v/>
      </c>
      <c r="B36" s="26" t="str">
        <f>IFERROR(IF($L36="","",INDEX(Resultatberegning!$B$29:$B$48,$L36-7)),"")</f>
        <v/>
      </c>
      <c r="C36" s="26" t="str">
        <f>IFERROR(IF($L36="","",INDEX('Deltager info'!$C$27:$C$46,$L36-7)),"")</f>
        <v/>
      </c>
      <c r="D36" s="27" t="str">
        <f>IFERROR(IF($L36="","",INDEX(Resultatberegning!$I$29:$I$48,$L36-7)),"")</f>
        <v/>
      </c>
      <c r="E36" s="27" t="str">
        <f>IFERROR(IF($L36="","",INDEX(Resultatberegning!$T$29:$T$48,$L36-7)),"")</f>
        <v/>
      </c>
      <c r="F36" s="27" t="str">
        <f>IFERROR(IF($L36="","",INDEX(Resultatberegning!$Z$29:$Z$48,$L36-7)),"")</f>
        <v/>
      </c>
      <c r="G36" s="29" t="str">
        <f>IFERROR(IF($L36="","",INDEX(Resultatberegning!$AB$29:$AB$48,$L36-7)),"")</f>
        <v/>
      </c>
      <c r="H36" s="25" t="str">
        <f>IFERROR(IF($L36="","",1+COUNTIF(Resultatberegning!$AB$29:$AB$48,"&lt;"&amp;INDEX(Resultatberegning!$AB$29:$AB$48,$L36-7))),"")</f>
        <v/>
      </c>
      <c r="I36" s="66"/>
      <c r="J36" s="66"/>
      <c r="K36" s="21" t="str">
        <f>IFERROR(IF(Resultatberegning!$AB36="","",Resultatberegning!$AB36+ROW(Resultatberegning!$AB36)/1000000),"")</f>
        <v/>
      </c>
      <c r="L36" s="21" t="str">
        <f>IFERROR(MATCH(SMALL($K$29:$K$48,8),$K$29:$K$48,0)+7,"")</f>
        <v/>
      </c>
      <c r="M36" s="66"/>
      <c r="N36" s="66"/>
      <c r="O36" s="66"/>
      <c r="P36" s="66"/>
      <c r="Q36" s="66"/>
      <c r="R36" s="66"/>
      <c r="S36" s="66"/>
      <c r="T36" s="66"/>
      <c r="U36" s="66"/>
    </row>
    <row r="37" spans="1:21">
      <c r="A37" s="25" t="str">
        <f>IFERROR(IF($L37="","",INDEX(Resultatberegning!$A$29:$A$48,$L37-7)),"")</f>
        <v/>
      </c>
      <c r="B37" s="26" t="str">
        <f>IFERROR(IF($L37="","",INDEX(Resultatberegning!$B$29:$B$48,$L37-7)),"")</f>
        <v/>
      </c>
      <c r="C37" s="26" t="str">
        <f>IFERROR(IF($L37="","",INDEX('Deltager info'!$C$27:$C$46,$L37-7)),"")</f>
        <v/>
      </c>
      <c r="D37" s="27" t="str">
        <f>IFERROR(IF($L37="","",INDEX(Resultatberegning!$I$29:$I$48,$L37-7)),"")</f>
        <v/>
      </c>
      <c r="E37" s="27" t="str">
        <f>IFERROR(IF($L37="","",INDEX(Resultatberegning!$T$29:$T$48,$L37-7)),"")</f>
        <v/>
      </c>
      <c r="F37" s="27" t="str">
        <f>IFERROR(IF($L37="","",INDEX(Resultatberegning!$Z$29:$Z$48,$L37-7)),"")</f>
        <v/>
      </c>
      <c r="G37" s="29" t="str">
        <f>IFERROR(IF($L37="","",INDEX(Resultatberegning!$AB$29:$AB$48,$L37-7)),"")</f>
        <v/>
      </c>
      <c r="H37" s="25" t="str">
        <f>IFERROR(IF($L37="","",1+COUNTIF(Resultatberegning!$AB$29:$AB$48,"&lt;"&amp;INDEX(Resultatberegning!$AB$29:$AB$48,$L37-7))),"")</f>
        <v/>
      </c>
      <c r="I37" s="66"/>
      <c r="J37" s="66"/>
      <c r="K37" s="21" t="str">
        <f>IFERROR(IF(Resultatberegning!$AB37="","",Resultatberegning!$AB37+ROW(Resultatberegning!$AB37)/1000000),"")</f>
        <v/>
      </c>
      <c r="L37" s="21" t="str">
        <f>IFERROR(MATCH(SMALL($K$29:$K$48,9),$K$29:$K$48,0)+7,"")</f>
        <v/>
      </c>
      <c r="M37" s="66"/>
      <c r="N37" s="66"/>
      <c r="O37" s="66"/>
      <c r="P37" s="66"/>
      <c r="Q37" s="66"/>
      <c r="R37" s="66"/>
      <c r="S37" s="66"/>
      <c r="T37" s="66"/>
      <c r="U37" s="66"/>
    </row>
    <row r="38" spans="1:21">
      <c r="A38" s="25" t="str">
        <f>IFERROR(IF($L38="","",INDEX(Resultatberegning!$A$29:$A$48,$L38-7)),"")</f>
        <v/>
      </c>
      <c r="B38" s="26" t="str">
        <f>IFERROR(IF($L38="","",INDEX(Resultatberegning!$B$29:$B$48,$L38-7)),"")</f>
        <v/>
      </c>
      <c r="C38" s="26" t="str">
        <f>IFERROR(IF($L38="","",INDEX('Deltager info'!$C$27:$C$46,$L38-7)),"")</f>
        <v/>
      </c>
      <c r="D38" s="27" t="str">
        <f>IFERROR(IF($L38="","",INDEX(Resultatberegning!$I$29:$I$48,$L38-7)),"")</f>
        <v/>
      </c>
      <c r="E38" s="27" t="str">
        <f>IFERROR(IF($L38="","",INDEX(Resultatberegning!$T$29:$T$48,$L38-7)),"")</f>
        <v/>
      </c>
      <c r="F38" s="27" t="str">
        <f>IFERROR(IF($L38="","",INDEX(Resultatberegning!$Z$29:$Z$48,$L38-7)),"")</f>
        <v/>
      </c>
      <c r="G38" s="29" t="str">
        <f>IFERROR(IF($L38="","",INDEX(Resultatberegning!$AB$29:$AB$48,$L38-7)),"")</f>
        <v/>
      </c>
      <c r="H38" s="25" t="str">
        <f>IFERROR(IF($L38="","",1+COUNTIF(Resultatberegning!$AB$29:$AB$48,"&lt;"&amp;INDEX(Resultatberegning!$AB$29:$AB$48,$L38-7))),"")</f>
        <v/>
      </c>
      <c r="I38" s="66"/>
      <c r="J38" s="66"/>
      <c r="K38" s="21" t="str">
        <f>IFERROR(IF(Resultatberegning!$AB38="","",Resultatberegning!$AB38+ROW(Resultatberegning!$AB38)/1000000),"")</f>
        <v/>
      </c>
      <c r="L38" s="21" t="str">
        <f>IFERROR(MATCH(SMALL($K$29:$K$48,10),$K$29:$K$48,0)+7,"")</f>
        <v/>
      </c>
      <c r="M38" s="66"/>
      <c r="N38" s="66"/>
      <c r="O38" s="66"/>
      <c r="P38" s="66"/>
      <c r="Q38" s="66"/>
      <c r="R38" s="66"/>
      <c r="S38" s="66"/>
      <c r="T38" s="66"/>
      <c r="U38" s="66"/>
    </row>
    <row r="39" spans="1:21">
      <c r="A39" s="25" t="str">
        <f>IFERROR(IF($L39="","",INDEX(Resultatberegning!$A$29:$A$48,$L39-7)),"")</f>
        <v/>
      </c>
      <c r="B39" s="26" t="str">
        <f>IFERROR(IF($L39="","",INDEX(Resultatberegning!$B$29:$B$48,$L39-7)),"")</f>
        <v/>
      </c>
      <c r="C39" s="26" t="str">
        <f>IFERROR(IF($L39="","",INDEX('Deltager info'!$C$27:$C$46,$L39-7)),"")</f>
        <v/>
      </c>
      <c r="D39" s="27" t="str">
        <f>IFERROR(IF($L39="","",INDEX(Resultatberegning!$I$29:$I$48,$L39-7)),"")</f>
        <v/>
      </c>
      <c r="E39" s="27" t="str">
        <f>IFERROR(IF($L39="","",INDEX(Resultatberegning!$T$29:$T$48,$L39-7)),"")</f>
        <v/>
      </c>
      <c r="F39" s="27" t="str">
        <f>IFERROR(IF($L39="","",INDEX(Resultatberegning!$Z$29:$Z$48,$L39-7)),"")</f>
        <v/>
      </c>
      <c r="G39" s="29" t="str">
        <f>IFERROR(IF($L39="","",INDEX(Resultatberegning!$AB$29:$AB$48,$L39-7)),"")</f>
        <v/>
      </c>
      <c r="H39" s="25" t="str">
        <f>IFERROR(IF($L39="","",1+COUNTIF(Resultatberegning!$AB$29:$AB$48,"&lt;"&amp;INDEX(Resultatberegning!$AB$29:$AB$48,$L39-7))),"")</f>
        <v/>
      </c>
      <c r="I39" s="66"/>
      <c r="J39" s="66"/>
      <c r="K39" s="21" t="str">
        <f>IFERROR(IF(Resultatberegning!$AB39="","",Resultatberegning!$AB39+ROW(Resultatberegning!$AB39)/1000000),"")</f>
        <v/>
      </c>
      <c r="L39" s="21" t="str">
        <f>IFERROR(MATCH(SMALL($K$29:$K$48,11),$K$20:$K$48,0)+7,"")</f>
        <v/>
      </c>
      <c r="M39" s="66"/>
      <c r="N39" s="66"/>
      <c r="O39" s="66"/>
      <c r="P39" s="66"/>
      <c r="Q39" s="66"/>
      <c r="R39" s="66"/>
      <c r="S39" s="66"/>
      <c r="T39" s="66"/>
      <c r="U39" s="66"/>
    </row>
    <row r="40" spans="1:21">
      <c r="A40" s="25" t="str">
        <f>IFERROR(IF($L40="","",INDEX(Resultatberegning!$A$29:$A$48,$L40-7)),"")</f>
        <v/>
      </c>
      <c r="B40" s="26" t="str">
        <f>IFERROR(IF($L40="","",INDEX(Resultatberegning!$B$29:$B$48,$L40-7)),"")</f>
        <v/>
      </c>
      <c r="C40" s="26" t="str">
        <f>IFERROR(IF($L40="","",INDEX('Deltager info'!$C$27:$C$46,$L40-7)),"")</f>
        <v/>
      </c>
      <c r="D40" s="27" t="str">
        <f>IFERROR(IF($L40="","",INDEX(Resultatberegning!$I$29:$I$48,$L40-7)),"")</f>
        <v/>
      </c>
      <c r="E40" s="27" t="str">
        <f>IFERROR(IF($L40="","",INDEX(Resultatberegning!$T$29:$T$48,$L40-7)),"")</f>
        <v/>
      </c>
      <c r="F40" s="27" t="str">
        <f>IFERROR(IF($L40="","",INDEX(Resultatberegning!$Z$29:$Z$48,$L40-7)),"")</f>
        <v/>
      </c>
      <c r="G40" s="29" t="str">
        <f>IFERROR(IF($L40="","",INDEX(Resultatberegning!$AB$29:$AB$48,$L40-7)),"")</f>
        <v/>
      </c>
      <c r="H40" s="25" t="str">
        <f>IFERROR(IF($L40="","",1+COUNTIF(Resultatberegning!$AB$29:$AB$48,"&lt;"&amp;INDEX(Resultatberegning!$AB$29:$AB$48,$L40-7))),"")</f>
        <v/>
      </c>
      <c r="I40" s="66"/>
      <c r="J40" s="66"/>
      <c r="K40" s="21" t="str">
        <f>IFERROR(IF(Resultatberegning!$AB40="","",Resultatberegning!$AB40+ROW(Resultatberegning!$AB40)/1000000),"")</f>
        <v/>
      </c>
      <c r="L40" s="21" t="str">
        <f>IFERROR(MATCH(SMALL($K$29:$K$48,12),$K$20:$K$48,0)+7,"")</f>
        <v/>
      </c>
      <c r="M40" s="66"/>
      <c r="N40" s="66"/>
      <c r="O40" s="66"/>
      <c r="P40" s="66"/>
      <c r="Q40" s="66"/>
      <c r="R40" s="66"/>
      <c r="S40" s="66"/>
      <c r="T40" s="66"/>
      <c r="U40" s="66"/>
    </row>
    <row r="41" spans="1:21">
      <c r="A41" s="25" t="str">
        <f>IFERROR(IF($L41="","",INDEX(Resultatberegning!$A$29:$A$48,$L41-7)),"")</f>
        <v/>
      </c>
      <c r="B41" s="26" t="str">
        <f>IFERROR(IF($L41="","",INDEX(Resultatberegning!$B$29:$B$48,$L41-7)),"")</f>
        <v/>
      </c>
      <c r="C41" s="26" t="str">
        <f>IFERROR(IF($L41="","",INDEX('Deltager info'!$C$27:$C$46,$L41-7)),"")</f>
        <v/>
      </c>
      <c r="D41" s="27" t="str">
        <f>IFERROR(IF($L41="","",INDEX(Resultatberegning!$I$29:$I$48,$L41-7)),"")</f>
        <v/>
      </c>
      <c r="E41" s="27" t="str">
        <f>IFERROR(IF($L41="","",INDEX(Resultatberegning!$T$29:$T$48,$L41-7)),"")</f>
        <v/>
      </c>
      <c r="F41" s="27" t="str">
        <f>IFERROR(IF($L41="","",INDEX(Resultatberegning!$Z$29:$Z$48,$L41-7)),"")</f>
        <v/>
      </c>
      <c r="G41" s="29" t="str">
        <f>IFERROR(IF($L41="","",INDEX(Resultatberegning!$AB$29:$AB$48,$L41-7)),"")</f>
        <v/>
      </c>
      <c r="H41" s="25" t="str">
        <f>IFERROR(IF($L41="","",1+COUNTIF(Resultatberegning!$AB$29:$AB$48,"&lt;"&amp;INDEX(Resultatberegning!$AB$29:$AB$48,$L41-7))),"")</f>
        <v/>
      </c>
      <c r="I41" s="66"/>
      <c r="J41" s="66"/>
      <c r="K41" s="21" t="str">
        <f>IFERROR(IF(Resultatberegning!$AB41="","",Resultatberegning!$AB41+ROW(Resultatberegning!$AB41)/1000000),"")</f>
        <v/>
      </c>
      <c r="L41" s="21" t="str">
        <f>IFERROR(MATCH(SMALL($K$29:$K$48,13),$K$29:$K$48,0)+7,"")</f>
        <v/>
      </c>
      <c r="M41" s="66"/>
      <c r="N41" s="66"/>
      <c r="O41" s="66"/>
      <c r="P41" s="66"/>
      <c r="Q41" s="66"/>
      <c r="R41" s="66"/>
      <c r="S41" s="66"/>
      <c r="T41" s="66"/>
      <c r="U41" s="66"/>
    </row>
    <row r="42" spans="1:21">
      <c r="A42" s="25" t="str">
        <f>IFERROR(IF($L42="","",INDEX(Resultatberegning!$A$29:$A$48,$L42-7)),"")</f>
        <v/>
      </c>
      <c r="B42" s="26" t="str">
        <f>IFERROR(IF($L42="","",INDEX(Resultatberegning!$B$29:$B$48,$L42-7)),"")</f>
        <v/>
      </c>
      <c r="C42" s="26" t="str">
        <f>IFERROR(IF($L42="","",INDEX('Deltager info'!$C$27:$C$46,$L42-7)),"")</f>
        <v/>
      </c>
      <c r="D42" s="27" t="str">
        <f>IFERROR(IF($L42="","",INDEX(Resultatberegning!$I$29:$I$48,$L42-7)),"")</f>
        <v/>
      </c>
      <c r="E42" s="27" t="str">
        <f>IFERROR(IF($L42="","",INDEX(Resultatberegning!$T$29:$T$48,$L42-7)),"")</f>
        <v/>
      </c>
      <c r="F42" s="27" t="str">
        <f>IFERROR(IF($L42="","",INDEX(Resultatberegning!$Z$29:$Z$48,$L42-7)),"")</f>
        <v/>
      </c>
      <c r="G42" s="29" t="str">
        <f>IFERROR(IF($L42="","",INDEX(Resultatberegning!$AB$29:$AB$48,$L42-7)),"")</f>
        <v/>
      </c>
      <c r="H42" s="25" t="str">
        <f>IFERROR(IF($L42="","",1+COUNTIF(Resultatberegning!$AB$29:$AB$48,"&lt;"&amp;INDEX(Resultatberegning!$AB$29:$AB$48,$L42-7))),"")</f>
        <v/>
      </c>
      <c r="I42" s="66"/>
      <c r="J42" s="66"/>
      <c r="K42" s="21" t="str">
        <f>IFERROR(IF(Resultatberegning!$AB42="","",Resultatberegning!$AB42+ROW(Resultatberegning!$AB42)/1000000),"")</f>
        <v/>
      </c>
      <c r="L42" s="21" t="str">
        <f>IFERROR(MATCH(SMALL($K$29:$K$48,14),$K$29:$K$48,0)+7,"")</f>
        <v/>
      </c>
      <c r="M42" s="66"/>
      <c r="N42" s="66"/>
      <c r="O42" s="66"/>
      <c r="P42" s="66"/>
      <c r="Q42" s="66"/>
      <c r="R42" s="66"/>
      <c r="S42" s="66"/>
      <c r="T42" s="66"/>
      <c r="U42" s="66"/>
    </row>
    <row r="43" spans="1:21">
      <c r="A43" s="25" t="str">
        <f>IFERROR(IF($L43="","",INDEX(Resultatberegning!$A$29:$A$48,$L43-7)),"")</f>
        <v/>
      </c>
      <c r="B43" s="26" t="str">
        <f>IFERROR(IF($L43="","",INDEX(Resultatberegning!$B$29:$B$48,$L43-7)),"")</f>
        <v/>
      </c>
      <c r="C43" s="26" t="str">
        <f>IFERROR(IF($L43="","",INDEX('Deltager info'!$C$27:$C$46,$L43-7)),"")</f>
        <v/>
      </c>
      <c r="D43" s="27" t="str">
        <f>IFERROR(IF($L43="","",INDEX(Resultatberegning!$I$29:$I$48,$L43-7)),"")</f>
        <v/>
      </c>
      <c r="E43" s="27" t="str">
        <f>IFERROR(IF($L43="","",INDEX(Resultatberegning!$T$29:$T$48,$L43-7)),"")</f>
        <v/>
      </c>
      <c r="F43" s="27" t="str">
        <f>IFERROR(IF($L43="","",INDEX(Resultatberegning!$Z$29:$Z$48,$L43-7)),"")</f>
        <v/>
      </c>
      <c r="G43" s="29" t="str">
        <f>IFERROR(IF($L43="","",INDEX(Resultatberegning!$AB$29:$AB$48,$L43-7)),"")</f>
        <v/>
      </c>
      <c r="H43" s="25" t="str">
        <f>IFERROR(IF($L43="","",1+COUNTIF(Resultatberegning!$AB$29:$AB$48,"&lt;"&amp;INDEX(Resultatberegning!$AB$29:$AB$48,$L43-7))),"")</f>
        <v/>
      </c>
      <c r="I43" s="66"/>
      <c r="J43" s="66"/>
      <c r="K43" s="21" t="str">
        <f>IFERROR(IF(Resultatberegning!$AB43="","",Resultatberegning!$AB43+ROW(Resultatberegning!$AB43)/1000000),"")</f>
        <v/>
      </c>
      <c r="L43" s="21" t="str">
        <f>IFERROR(MATCH(SMALL($K$29:$K$48,15),$K$29:$K$48,0)+7,"")</f>
        <v/>
      </c>
      <c r="M43" s="66"/>
      <c r="N43" s="66"/>
      <c r="O43" s="66"/>
      <c r="P43" s="66"/>
      <c r="Q43" s="66"/>
      <c r="R43" s="66"/>
      <c r="S43" s="66"/>
      <c r="T43" s="66"/>
      <c r="U43" s="66"/>
    </row>
    <row r="44" spans="1:21">
      <c r="A44" s="25" t="str">
        <f>IFERROR(IF($L44="","",INDEX(Resultatberegning!$A$29:$A$48,$L44-7)),"")</f>
        <v/>
      </c>
      <c r="B44" s="26" t="str">
        <f>IFERROR(IF($L44="","",INDEX(Resultatberegning!$B$29:$B$48,$L44-7)),"")</f>
        <v/>
      </c>
      <c r="C44" s="26" t="str">
        <f>IFERROR(IF($L44="","",INDEX('Deltager info'!$C$27:$C$46,$L44-7)),"")</f>
        <v/>
      </c>
      <c r="D44" s="27" t="str">
        <f>IFERROR(IF($L44="","",INDEX(Resultatberegning!$I$29:$I$48,$L44-7)),"")</f>
        <v/>
      </c>
      <c r="E44" s="27" t="str">
        <f>IFERROR(IF($L44="","",INDEX(Resultatberegning!$T$29:$T$48,$L44-7)),"")</f>
        <v/>
      </c>
      <c r="F44" s="27" t="str">
        <f>IFERROR(IF($L44="","",INDEX(Resultatberegning!$Z$29:$Z$48,$L44-7)),"")</f>
        <v/>
      </c>
      <c r="G44" s="29" t="str">
        <f>IFERROR(IF($L44="","",INDEX(Resultatberegning!$AB$29:$AB$48,$L44-7)),"")</f>
        <v/>
      </c>
      <c r="H44" s="25" t="str">
        <f>IFERROR(IF($L44="","",1+COUNTIF(Resultatberegning!$AB$29:$AB$48,"&lt;"&amp;INDEX(Resultatberegning!$AB$29:$AB$48,$L44-7))),"")</f>
        <v/>
      </c>
      <c r="I44" s="66"/>
      <c r="J44" s="66"/>
      <c r="K44" s="21" t="str">
        <f>IFERROR(IF(Resultatberegning!$AB44="","",Resultatberegning!$AB44+ROW(Resultatberegning!$AB44)/1000000),"")</f>
        <v/>
      </c>
      <c r="L44" s="21" t="str">
        <f>IFERROR(MATCH(SMALL($K$29:$K$48,16),$K$29:$K$48,0)+7,"")</f>
        <v/>
      </c>
      <c r="M44" s="66"/>
      <c r="N44" s="66"/>
      <c r="O44" s="66"/>
      <c r="P44" s="66"/>
      <c r="Q44" s="66"/>
      <c r="R44" s="66"/>
      <c r="S44" s="66"/>
      <c r="T44" s="66"/>
      <c r="U44" s="66"/>
    </row>
    <row r="45" spans="1:21">
      <c r="A45" s="25" t="str">
        <f>IFERROR(IF($L45="","",INDEX(Resultatberegning!$A$29:$A$48,$L45-7)),"")</f>
        <v/>
      </c>
      <c r="B45" s="26" t="str">
        <f>IFERROR(IF($L45="","",INDEX(Resultatberegning!$B$29:$B$48,$L45-7)),"")</f>
        <v/>
      </c>
      <c r="C45" s="26" t="str">
        <f>IFERROR(IF($L45="","",INDEX('Deltager info'!$C$27:$C$46,$L45-7)),"")</f>
        <v/>
      </c>
      <c r="D45" s="27" t="str">
        <f>IFERROR(IF($L45="","",INDEX(Resultatberegning!$I$29:$I$48,$L45-7)),"")</f>
        <v/>
      </c>
      <c r="E45" s="27" t="str">
        <f>IFERROR(IF($L45="","",INDEX(Resultatberegning!$T$29:$T$48,$L45-7)),"")</f>
        <v/>
      </c>
      <c r="F45" s="27" t="str">
        <f>IFERROR(IF($L45="","",INDEX(Resultatberegning!$Z$29:$Z$48,$L45-7)),"")</f>
        <v/>
      </c>
      <c r="G45" s="29" t="str">
        <f>IFERROR(IF($L45="","",INDEX(Resultatberegning!$AB$29:$AB$48,$L45-7)),"")</f>
        <v/>
      </c>
      <c r="H45" s="25" t="str">
        <f>IFERROR(IF($L45="","",1+COUNTIF(Resultatberegning!$AB$29:$AB$48,"&lt;"&amp;INDEX(Resultatberegning!$AB$29:$AB$48,$L45-7))),"")</f>
        <v/>
      </c>
      <c r="I45" s="66"/>
      <c r="J45" s="66"/>
      <c r="K45" s="21" t="str">
        <f>IFERROR(IF(Resultatberegning!$AB45="","",Resultatberegning!$AB45+ROW(Resultatberegning!$AB45)/1000000),"")</f>
        <v/>
      </c>
      <c r="L45" s="21" t="str">
        <f>IFERROR(MATCH(SMALL($K$29:$K$48,17),$K$29:$K$48,0)+7,"")</f>
        <v/>
      </c>
      <c r="M45" s="66"/>
      <c r="N45" s="66"/>
      <c r="O45" s="66"/>
      <c r="P45" s="66"/>
      <c r="Q45" s="66"/>
      <c r="R45" s="66"/>
      <c r="S45" s="66"/>
      <c r="T45" s="66"/>
      <c r="U45" s="66"/>
    </row>
    <row r="46" spans="1:21">
      <c r="A46" s="25" t="str">
        <f>IFERROR(IF($L46="","",INDEX(Resultatberegning!$A$29:$A$48,$L46-7)),"")</f>
        <v/>
      </c>
      <c r="B46" s="26" t="str">
        <f>IFERROR(IF($L46="","",INDEX(Resultatberegning!$B$29:$B$48,$L46-7)),"")</f>
        <v/>
      </c>
      <c r="C46" s="26" t="str">
        <f>IFERROR(IF($L46="","",INDEX('Deltager info'!$C$27:$C$46,$L46-7)),"")</f>
        <v/>
      </c>
      <c r="D46" s="27" t="str">
        <f>IFERROR(IF($L46="","",INDEX(Resultatberegning!$I$29:$I$48,$L46-7)),"")</f>
        <v/>
      </c>
      <c r="E46" s="27" t="str">
        <f>IFERROR(IF($L46="","",INDEX(Resultatberegning!$T$29:$T$48,$L46-7)),"")</f>
        <v/>
      </c>
      <c r="F46" s="27" t="str">
        <f>IFERROR(IF($L46="","",INDEX(Resultatberegning!$Z$29:$Z$48,$L46-7)),"")</f>
        <v/>
      </c>
      <c r="G46" s="29" t="str">
        <f>IFERROR(IF($L46="","",INDEX(Resultatberegning!$AB$29:$AB$48,$L46-7)),"")</f>
        <v/>
      </c>
      <c r="H46" s="25" t="str">
        <f>IFERROR(IF($L46="","",1+COUNTIF(Resultatberegning!$AB$29:$AB$48,"&lt;"&amp;INDEX(Resultatberegning!$AB$29:$AB$48,$L46-7))),"")</f>
        <v/>
      </c>
      <c r="I46" s="66"/>
      <c r="J46" s="66"/>
      <c r="K46" s="21" t="str">
        <f>IFERROR(IF(Resultatberegning!$AB46="","",Resultatberegning!$AB46+ROW(Resultatberegning!$AB46)/1000000),"")</f>
        <v/>
      </c>
      <c r="L46" s="21" t="str">
        <f>IFERROR(MATCH(SMALL($K$29:$K$48,18),$K$29:$K$48,0)+7,"")</f>
        <v/>
      </c>
      <c r="M46" s="66"/>
      <c r="N46" s="66"/>
      <c r="O46" s="66"/>
      <c r="P46" s="66"/>
      <c r="Q46" s="66"/>
      <c r="R46" s="66"/>
      <c r="S46" s="66"/>
      <c r="T46" s="66"/>
      <c r="U46" s="66"/>
    </row>
    <row r="47" spans="1:21">
      <c r="A47" s="25" t="str">
        <f>IFERROR(IF($L47="","",INDEX(Resultatberegning!$A$29:$A$48,$L47-7)),"")</f>
        <v/>
      </c>
      <c r="B47" s="26" t="str">
        <f>IFERROR(IF($L47="","",INDEX(Resultatberegning!$B$29:$B$48,$L47-7)),"")</f>
        <v/>
      </c>
      <c r="C47" s="26" t="str">
        <f>IFERROR(IF($L47="","",INDEX('Deltager info'!$C$27:$C$46,$L47-7)),"")</f>
        <v/>
      </c>
      <c r="D47" s="27" t="str">
        <f>IFERROR(IF($L47="","",INDEX(Resultatberegning!$I$29:$I$48,$L47-7)),"")</f>
        <v/>
      </c>
      <c r="E47" s="27" t="str">
        <f>IFERROR(IF($L47="","",INDEX(Resultatberegning!$T$29:$T$48,$L47-7)),"")</f>
        <v/>
      </c>
      <c r="F47" s="27" t="str">
        <f>IFERROR(IF($L47="","",INDEX(Resultatberegning!$Z$29:$Z$48,$L47-7)),"")</f>
        <v/>
      </c>
      <c r="G47" s="29" t="str">
        <f>IFERROR(IF($L47="","",INDEX(Resultatberegning!$AB$29:$AB$48,$L47-7)),"")</f>
        <v/>
      </c>
      <c r="H47" s="25" t="str">
        <f>IFERROR(IF($L47="","",1+COUNTIF(Resultatberegning!$AB$29:$AB$48,"&lt;"&amp;INDEX(Resultatberegning!$AB$29:$AB$48,$L47-7))),"")</f>
        <v/>
      </c>
      <c r="I47" s="66"/>
      <c r="J47" s="66"/>
      <c r="K47" s="21" t="str">
        <f>IFERROR(IF(Resultatberegning!$AB47="","",Resultatberegning!$AB47+ROW(Resultatberegning!$AB47)/1000000),"")</f>
        <v/>
      </c>
      <c r="L47" s="21" t="str">
        <f>IFERROR(MATCH(SMALL($K$29:$K$48,19),$K$29:$K$48,0)+7,"")</f>
        <v/>
      </c>
      <c r="M47" s="66"/>
      <c r="N47" s="66"/>
      <c r="O47" s="66"/>
      <c r="P47" s="66"/>
      <c r="Q47" s="66"/>
      <c r="R47" s="66"/>
      <c r="S47" s="66"/>
      <c r="T47" s="66"/>
      <c r="U47" s="66"/>
    </row>
    <row r="48" spans="1:21">
      <c r="A48" s="25" t="str">
        <f>IFERROR(IF($L48="","",INDEX(Resultatberegning!$A$29:$A$48,$L48-7)),"")</f>
        <v/>
      </c>
      <c r="B48" s="26" t="str">
        <f>IFERROR(IF($L48="","",INDEX(Resultatberegning!$B$29:$B$48,$L48-7)),"")</f>
        <v/>
      </c>
      <c r="C48" s="26" t="str">
        <f>IFERROR(IF($L48="","",INDEX('Deltager info'!$C$27:$C$46,$L48-7)),"")</f>
        <v/>
      </c>
      <c r="D48" s="27" t="str">
        <f>IFERROR(IF($L48="","",INDEX(Resultatberegning!$I$29:$I$48,$L48-7)),"")</f>
        <v/>
      </c>
      <c r="E48" s="27" t="str">
        <f>IFERROR(IF($L48="","",INDEX(Resultatberegning!$T$29:$T$48,$L48-7)),"")</f>
        <v/>
      </c>
      <c r="F48" s="27" t="str">
        <f>IFERROR(IF($L48="","",INDEX(Resultatberegning!$Z$29:$Z$48,$L48-7)),"")</f>
        <v/>
      </c>
      <c r="G48" s="29" t="str">
        <f>IFERROR(IF($L48="","",INDEX(Resultatberegning!$AB$29:$AB$48,$L48-7)),"")</f>
        <v/>
      </c>
      <c r="H48" s="25" t="str">
        <f>IFERROR(IF($L48="","",1+COUNTIF(Resultatberegning!$AB$29:$AB$48,"&lt;"&amp;INDEX(Resultatberegning!$AB$29:$AB$48,$L48-7))),"")</f>
        <v/>
      </c>
      <c r="I48" s="66"/>
      <c r="J48" s="66"/>
      <c r="K48" s="21" t="str">
        <f>IFERROR(IF(Resultatberegning!$AB48="","",Resultatberegning!$AB48+ROW(Resultatberegning!$AB48)/1000000),"")</f>
        <v/>
      </c>
      <c r="L48" s="21" t="str">
        <f>IFERROR(MATCH(SMALL($K$29:$K$48,20),$K$29:$K$48,0)+7,"")</f>
        <v/>
      </c>
      <c r="M48" s="66"/>
      <c r="N48" s="66"/>
      <c r="O48" s="66"/>
      <c r="P48" s="66"/>
      <c r="Q48" s="66"/>
      <c r="R48" s="66"/>
      <c r="S48" s="66"/>
      <c r="T48" s="66"/>
      <c r="U48" s="66"/>
    </row>
    <row r="49" spans="1:21" s="1" customFormat="1">
      <c r="A49" s="71"/>
      <c r="B49" s="74"/>
      <c r="C49" s="74"/>
      <c r="D49" s="74"/>
      <c r="E49" s="74"/>
      <c r="F49" s="74"/>
      <c r="G49" s="74"/>
      <c r="H49" s="74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</row>
  </sheetData>
  <mergeCells count="10">
    <mergeCell ref="A1:H2"/>
    <mergeCell ref="B5:B6"/>
    <mergeCell ref="D5:D6"/>
    <mergeCell ref="A5:A6"/>
    <mergeCell ref="G5:G6"/>
    <mergeCell ref="E5:E6"/>
    <mergeCell ref="A3:H3"/>
    <mergeCell ref="H5:H6"/>
    <mergeCell ref="C5:C6"/>
    <mergeCell ref="F5:F6"/>
  </mergeCells>
  <conditionalFormatting sqref="A1:U49">
    <cfRule type="expression" dxfId="0" priority="1">
      <formula>ISERROR(A1)</formula>
    </cfRule>
  </conditionalFormatting>
  <pageMargins left="0.35433070866141736" right="0.35433070866141736" top="0.39370078740157483" bottom="0.39370078740157483" header="0.23622047244094491" footer="0.23622047244094491"/>
  <pageSetup paperSize="9" fitToHeight="0" orientation="portrait" r:id="rId1"/>
  <headerFooter>
    <oddFooter>&amp;LArrangør dokument v 5.0 Classic&amp;C&amp;D&amp;RSide &amp;P af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"/>
  <sheetViews>
    <sheetView showGridLines="0" zoomScale="70" zoomScaleNormal="70" workbookViewId="0">
      <selection activeCell="E2" sqref="E2"/>
    </sheetView>
  </sheetViews>
  <sheetFormatPr defaultRowHeight="14.5"/>
  <cols>
    <col min="1" max="1" width="18" customWidth="1"/>
    <col min="2" max="2" width="14" customWidth="1"/>
    <col min="3" max="3" width="85" customWidth="1"/>
    <col min="4" max="4" width="25" customWidth="1"/>
  </cols>
  <sheetData>
    <row r="1" spans="1:4">
      <c r="A1" s="97" t="s">
        <v>84</v>
      </c>
      <c r="B1" s="97" t="s">
        <v>85</v>
      </c>
      <c r="C1" s="97" t="s">
        <v>86</v>
      </c>
      <c r="D1" s="97" t="s">
        <v>87</v>
      </c>
    </row>
    <row r="2" spans="1:4">
      <c r="A2" s="136" t="s">
        <v>119</v>
      </c>
      <c r="B2" t="s">
        <v>1</v>
      </c>
    </row>
  </sheetData>
  <pageMargins left="0.35" right="0.35" top="0.55000000000000004" bottom="0.55000000000000004" header="0.25" footer="0.25"/>
  <pageSetup paperSize="9" fitToHeight="0" orientation="portrait"/>
  <headerFooter>
    <oddHeader>&amp;CVersionshistorik</oddHeader>
    <oddFooter>&amp;LArrangør dokument v5.0 Classic&amp;C&amp;D&amp;RSide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Dokument info</vt:lpstr>
      <vt:lpstr>Deltager info</vt:lpstr>
      <vt:lpstr>Startliste</vt:lpstr>
      <vt:lpstr>B tider</vt:lpstr>
      <vt:lpstr>C tider</vt:lpstr>
      <vt:lpstr>Bane personale</vt:lpstr>
      <vt:lpstr>Resultatberegning</vt:lpstr>
      <vt:lpstr>Resultatet</vt:lpstr>
      <vt:lpstr>Versionshistorik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Malene E. Larsen</cp:lastModifiedBy>
  <cp:lastPrinted>2026-07-08T10:43:44Z</cp:lastPrinted>
  <dcterms:created xsi:type="dcterms:W3CDTF">2026-07-08T09:46:53Z</dcterms:created>
  <dcterms:modified xsi:type="dcterms:W3CDTF">2026-07-08T10:51:31Z</dcterms:modified>
</cp:coreProperties>
</file>